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15" windowWidth="15480" windowHeight="11640" activeTab="0"/>
  </bookViews>
  <sheets>
    <sheet name="Sheet1" sheetId="1" r:id="rId1"/>
    <sheet name="Sheet2" sheetId="2" r:id="rId2"/>
    <sheet name="Sheet3" sheetId="3" r:id="rId3"/>
  </sheets>
  <definedNames>
    <definedName name="_xlnm.Print_Area" localSheetId="0">'Sheet1'!$A$1:$C$60,'Sheet1'!$E$1:$O$60</definedName>
  </definedNames>
  <calcPr fullCalcOnLoad="1"/>
</workbook>
</file>

<file path=xl/comments1.xml><?xml version="1.0" encoding="utf-8"?>
<comments xmlns="http://schemas.openxmlformats.org/spreadsheetml/2006/main">
  <authors>
    <author>User</author>
    <author>Paul Dykstra</author>
  </authors>
  <commentList>
    <comment ref="A1" authorId="0">
      <text>
        <r>
          <rPr>
            <sz val="8"/>
            <rFont val="Tahoma"/>
            <family val="0"/>
          </rPr>
          <t xml:space="preserve">Finished Cattle Marketing Parameters are the most useful way to project price for calves or feeder cattle months before they are harvested as finished cattle by using the Live Cattle futures price for the expected month that the cattle will be harvested.  
</t>
        </r>
      </text>
    </comment>
    <comment ref="A15" authorId="0">
      <text>
        <r>
          <rPr>
            <sz val="8"/>
            <rFont val="Tahoma"/>
            <family val="0"/>
          </rPr>
          <t xml:space="preserve">Feeder Calf Delivery Parameters define the average weight of the cattle when they are transferred from the ranch to the feedlot and the associated freight conditions.  This information is used to calculate the final breakeven calf price.
</t>
        </r>
      </text>
    </comment>
    <comment ref="A25" authorId="0">
      <text>
        <r>
          <rPr>
            <sz val="8"/>
            <rFont val="Tahoma"/>
            <family val="0"/>
          </rPr>
          <t xml:space="preserve">Feeding Parameters summarize the costs of feeding inputs as well as the expected performance of the cattle.  Detailed knowledge of cattle feeding and feed markets will yield the most accurate information.  Consultation with a feedlot manager or other experienced individual is advised for those unfamiliar with these areas.
</t>
        </r>
      </text>
    </comment>
    <comment ref="E13" authorId="0">
      <text>
        <r>
          <rPr>
            <sz val="8"/>
            <rFont val="Tahoma"/>
            <family val="0"/>
          </rPr>
          <t xml:space="preserve">Grid Marketing Parameters consider historical carcass data from the cow herd and management to derive a best-case scenario. If historical information is not available then breed type, age, days on feed and other factors may help to derive probable outcomes.
</t>
        </r>
      </text>
    </comment>
    <comment ref="A2" authorId="0">
      <text>
        <r>
          <rPr>
            <sz val="8"/>
            <rFont val="Tahoma"/>
            <family val="0"/>
          </rPr>
          <t xml:space="preserve">B2: Live Cattle Futures Price for Delivery Month – Use the Chicago Mercantile Exchange “Live Cattle” contract price for the expected month of harvest. This price is constantly changing and must be updated daily.
</t>
        </r>
      </text>
    </comment>
    <comment ref="A3" authorId="0">
      <text>
        <r>
          <rPr>
            <sz val="8"/>
            <rFont val="Tahoma"/>
            <family val="0"/>
          </rPr>
          <t xml:space="preserve">B3: Basis – The difference between the cash fed cattle price and the futures price.  This number typically has a seasonal pattern so historical data can help come up with the proper number for the futures delivery month.
</t>
        </r>
      </text>
    </comment>
    <comment ref="A4" authorId="0">
      <text>
        <r>
          <rPr>
            <sz val="8"/>
            <rFont val="Tahoma"/>
            <family val="0"/>
          </rPr>
          <t xml:space="preserve">B4: Age/Source Verified Premium per Head – If cattle have been verified through a USDA-approved third party as “Age and Source Verified” then the cattle may qualify for a premium from the packer, especially if they will be harvested at an age less than 21 months.  Get an informed quote for what this premium might be for the month of expected harvest.  If this does not apply, use a value of zero.
</t>
        </r>
      </text>
    </comment>
    <comment ref="A5" authorId="0">
      <text>
        <r>
          <rPr>
            <sz val="8"/>
            <rFont val="Tahoma"/>
            <family val="0"/>
          </rPr>
          <t>B5: Checkoff Per Head – All cattle sold in the U.S. are subject to the $1.00 per head checkoff.</t>
        </r>
      </text>
    </comment>
    <comment ref="A6" authorId="0">
      <text>
        <r>
          <rPr>
            <sz val="8"/>
            <rFont val="Tahoma"/>
            <family val="0"/>
          </rPr>
          <t>B6: Other Premiums per Head – If the cattle qualify for “Natural” or “Non Hormone Treated Cattle” premiums then those dollars should be accounted for here on a “per head” basis.  If not know, then use a zero value or consult with a feedlot operator for further information.</t>
        </r>
      </text>
    </comment>
    <comment ref="A9" authorId="0">
      <text>
        <r>
          <rPr>
            <sz val="8"/>
            <rFont val="Tahoma"/>
            <family val="2"/>
          </rPr>
          <t>B9: Live Price –Resulting value after accounting for all of the “Finished Cattle Marketing Parameters” and the expected finished weight of the cattle.</t>
        </r>
      </text>
    </comment>
    <comment ref="A10" authorId="0">
      <text>
        <r>
          <rPr>
            <sz val="8"/>
            <rFont val="Tahoma"/>
            <family val="2"/>
          </rPr>
          <t>B10: Equivalent Carcass Price – Live price per hundredweight from B9 converted to a carcass price per hundredweight using a standard 63.5% dressing percentage.</t>
        </r>
      </text>
    </comment>
    <comment ref="A12" authorId="0">
      <text>
        <r>
          <rPr>
            <sz val="8"/>
            <rFont val="Tahoma"/>
            <family val="2"/>
          </rPr>
          <t xml:space="preserve">B12: Carcass Price – The result of beginning with the “Live Price”, converting that number to a carcass weight basis using a 63.5% dressing percentage, adding and subtracting the grid premiums and discounts summarized in cell J38, and adding freight cost from feedlot to packing plant from cell M43.
</t>
        </r>
      </text>
    </comment>
    <comment ref="A13" authorId="0">
      <text>
        <r>
          <rPr>
            <sz val="8"/>
            <rFont val="Tahoma"/>
            <family val="2"/>
          </rPr>
          <t xml:space="preserve">B13: Equivalent Live Price – Value is a re-calculation of the final carcass price after grid value adjustments, multiplied by a standard dressing percentage of 63.5%. It is a reference point to allow an equivalent comparison of a “live” price to a “grid” price on the same scale.  In this case, the “live” price scale.
</t>
        </r>
      </text>
    </comment>
    <comment ref="A16" authorId="0">
      <text>
        <r>
          <rPr>
            <sz val="8"/>
            <rFont val="Tahoma"/>
            <family val="2"/>
          </rPr>
          <t xml:space="preserve">B16: Number of Head – The number of cattle.
</t>
        </r>
      </text>
    </comment>
    <comment ref="A17" authorId="0">
      <text>
        <r>
          <rPr>
            <sz val="8"/>
            <rFont val="Tahoma"/>
            <family val="2"/>
          </rPr>
          <t xml:space="preserve">B17: Purchase Weight – The weight of the cattle.
</t>
        </r>
      </text>
    </comment>
    <comment ref="A18" authorId="0">
      <text>
        <r>
          <rPr>
            <sz val="8"/>
            <rFont val="Tahoma"/>
            <family val="2"/>
          </rPr>
          <t>B18: Trucking Charge/Mile – The cost per mile to ship the cattle from the ranch of origin to the feedlot. Price is typically similar between trucking companies, but a quote should be obtained for accuracy.</t>
        </r>
      </text>
    </comment>
    <comment ref="A19" authorId="0">
      <text>
        <r>
          <rPr>
            <sz val="8"/>
            <rFont val="Tahoma"/>
            <family val="2"/>
          </rPr>
          <t xml:space="preserve">B19: Trucking Mileage – The distance from ranch of origin to the feedlot.  </t>
        </r>
      </text>
    </comment>
    <comment ref="A20" authorId="0">
      <text>
        <r>
          <rPr>
            <sz val="8"/>
            <rFont val="Tahoma"/>
            <family val="2"/>
          </rPr>
          <t>B20: Number of Loads – The number of loads is important in properly distributing the trucking costs on a per head basis.  Accounting for the maximum weight allowed per truck is important in accurately estimating the number of loads required to ship the cattle.  Adjusting the number of loads will automatically make changes to cell B21, which displays the weight per truck that results from the head count, number of loads and weight per head.</t>
        </r>
      </text>
    </comment>
    <comment ref="A23" authorId="0">
      <text>
        <r>
          <rPr>
            <sz val="8"/>
            <rFont val="Tahoma"/>
            <family val="2"/>
          </rPr>
          <t>B23: Trucking Cost – Cell B23 summarizes the trucking cost per hundredweight of live weight and cell C23 summarizes the trucking cost per head.</t>
        </r>
      </text>
    </comment>
    <comment ref="A26" authorId="0">
      <text>
        <r>
          <rPr>
            <sz val="8"/>
            <rFont val="Tahoma"/>
            <family val="2"/>
          </rPr>
          <t>B26: In Date – The date cattle will arrive at the feedlot.</t>
        </r>
      </text>
    </comment>
    <comment ref="A27" authorId="0">
      <text>
        <r>
          <rPr>
            <sz val="8"/>
            <rFont val="Tahoma"/>
            <family val="2"/>
          </rPr>
          <t>B27: Average Daily Gain – The expected average daily gain for the cattle.  This is influenced by cattle gender, age, genetics, condition, feeding season, feedstuffs used in the feeding period and nutritional background.  Consultation with a feedlot manager or historical data derived from the cow herd that produced the calves will yield the best estimate for this number.</t>
        </r>
      </text>
    </comment>
    <comment ref="A28" authorId="0">
      <text>
        <r>
          <rPr>
            <sz val="8"/>
            <rFont val="Tahoma"/>
            <family val="2"/>
          </rPr>
          <t>B28: Feed Conversion – Measured in dry matter, pounds of feed required to produce one pound of weight gain in the cattle.  This is influenced by all factors described under “Average Daily Gain”.</t>
        </r>
      </text>
    </comment>
    <comment ref="A29" authorId="0">
      <text>
        <r>
          <rPr>
            <sz val="8"/>
            <rFont val="Tahoma"/>
            <family val="2"/>
          </rPr>
          <t>B29: Pay Weight Out – The estimated finished weight of the cattle. A “pencil shrink” should be subtracted from the actual live weight of the cattle at the feedlot at the time of shipping.  This is commonplace in selling live cattle to a packer to account for weight loss during shipping from the feedlot to the packing plant.  A 4% shrink is typical.</t>
        </r>
      </text>
    </comment>
    <comment ref="A30" authorId="0">
      <text>
        <r>
          <rPr>
            <sz val="8"/>
            <rFont val="Tahoma"/>
            <family val="2"/>
          </rPr>
          <t>B30: Yardage Charge/Head/Day – A cost per head per day that the feedlot charges the customer for caring for the cattle, providing pen space and overhead expenses. The costs and services that are included in this charge vary from feedlot to feedlot a good deal, and a full understanding of these differences is important when analyzing the true cost of feeding.</t>
        </r>
      </text>
    </comment>
    <comment ref="A31" authorId="0">
      <text>
        <r>
          <rPr>
            <sz val="8"/>
            <rFont val="Tahoma"/>
            <family val="2"/>
          </rPr>
          <t>B31: Vet/Med./Processing Cost per Head – Costs associated with processing cattle to give vaccinations as well as medicine for any sick cattle should be included.  This number will depend somewhat on the feedlot’s historical averages as well as the class, weight and condition of the cattle.</t>
        </r>
      </text>
    </comment>
    <comment ref="A32" authorId="0">
      <text>
        <r>
          <rPr>
            <sz val="8"/>
            <rFont val="Tahoma"/>
            <family val="2"/>
          </rPr>
          <t>B32: Death Loss Percentage – A death loss estimate should be included in calculating a breakeven.  This will depend on the class of cattle, vaccination history and other factors.  An estimate of one to two percent death loss may be a good starting point for cattle that have a thorough vaccination background.</t>
        </r>
      </text>
    </comment>
    <comment ref="A33" authorId="0">
      <text>
        <r>
          <rPr>
            <sz val="8"/>
            <rFont val="Tahoma"/>
            <family val="2"/>
          </rPr>
          <t>B33: Ration Cost per Ton (DM) – The cost per ton of all feed ingredients included in the ration, on a dry matter basis, should be used to determine this price.  When creating a breakeven estimate, the futures market and current market conditions for feed products can be used.  Several sources of estimates will help to solidify industry average numbers, or individual feedlots will have accurate estimates of their local prices for different commodities.</t>
        </r>
      </text>
    </comment>
    <comment ref="A34" authorId="0">
      <text>
        <r>
          <rPr>
            <sz val="8"/>
            <rFont val="Tahoma"/>
            <family val="2"/>
          </rPr>
          <t xml:space="preserve">B34: Equity per Head at Purchase – Cow-calf operations and backgrounders may not see a need to consider this line of information when determining a fair selling price since there will be no equity required to sell the cattle.  However, the breakeven calculation must consider the fact that the buyer may need to finance the purchase of the cattle through borrowed money.  Most lenders will require a down-payment on the purchase of the cattle from the borrower.  Since the borrower will have to pay interest, then the cost of that interest must be accounted for in the breakeven calculation.  A suggested value is 30% of the purchase price of the cattle per head.  </t>
        </r>
      </text>
    </comment>
    <comment ref="A35" authorId="0">
      <text>
        <r>
          <rPr>
            <sz val="8"/>
            <rFont val="Tahoma"/>
            <family val="2"/>
          </rPr>
          <t>B35: Interest % (Cattle) – The interest rate offered by the lender for purchasing the cattle should be used.  If the user does not wish to consider this in the analysis, then make the interest rate equal to zero.</t>
        </r>
      </text>
    </comment>
    <comment ref="A36" authorId="0">
      <text>
        <r>
          <rPr>
            <sz val="8"/>
            <rFont val="Tahoma"/>
            <family val="2"/>
          </rPr>
          <t>B36: Interest % (Feed) – If the feed required for the feedlot phase is to be financed through a lender, or through the feedlot, then an appropriate interest percentage should be used here.  However, some people choose to pay the feed charges every two weeks or monthly in order to avoid interest charges.  If the user does not wish to consider interest cost on financing the feed, then use an interest rate of zero here.</t>
        </r>
      </text>
    </comment>
    <comment ref="A37" authorId="0">
      <text>
        <r>
          <rPr>
            <sz val="8"/>
            <rFont val="Tahoma"/>
            <family val="2"/>
          </rPr>
          <t>B37: Feed Interest Cost per Head – Summary of the interest cost per head for financed feed on a per-animal basis.</t>
        </r>
      </text>
    </comment>
    <comment ref="A38" authorId="0">
      <text>
        <r>
          <rPr>
            <sz val="8"/>
            <rFont val="Tahoma"/>
            <family val="2"/>
          </rPr>
          <t xml:space="preserve">B38: Cattle Interest (using live sale final price) – This number is a summary of the total interest cost per head in the case where the purchase of the calves or feeder cattle is partially financed through a lender.  It is calculated backwards from the breakeven purchase price of the calves.
</t>
        </r>
      </text>
    </comment>
    <comment ref="A39" authorId="0">
      <text>
        <r>
          <rPr>
            <sz val="8"/>
            <rFont val="Tahoma"/>
            <family val="2"/>
          </rPr>
          <t>B39: Days on Feed – The number of days on feed is calculated from the estimated in-weight and out-weight of the cattle.</t>
        </r>
      </text>
    </comment>
    <comment ref="A40" authorId="0">
      <text>
        <r>
          <rPr>
            <sz val="8"/>
            <rFont val="Tahoma"/>
            <family val="2"/>
          </rPr>
          <t>B40 : Average Daily Consumption (DM) – The feed conversion, in-weight, out-weight, average daily gain and days on feed.</t>
        </r>
      </text>
    </comment>
    <comment ref="A41" authorId="0">
      <text>
        <r>
          <rPr>
            <sz val="8"/>
            <rFont val="Tahoma"/>
            <family val="2"/>
          </rPr>
          <t>B41: Total DM Consumption per Head – The total feed consumed during the entire feeding period per head.  It is based on the same factors as in figuring the Average Daily Consumption.</t>
        </r>
      </text>
    </comment>
    <comment ref="A42" authorId="0">
      <text>
        <r>
          <rPr>
            <sz val="8"/>
            <rFont val="Tahoma"/>
            <family val="2"/>
          </rPr>
          <t>B42: Feed Cost of Gain – The cost of feed per 100 pounds of live weight gain.  It does not include interest, yardage or death loss.</t>
        </r>
      </text>
    </comment>
    <comment ref="A43" authorId="0">
      <text>
        <r>
          <rPr>
            <sz val="8"/>
            <rFont val="Tahoma"/>
            <family val="2"/>
          </rPr>
          <t>B43: Total Feed Cost per Head – The total feed cost required during the feeding period on a per head basis.</t>
        </r>
      </text>
    </comment>
    <comment ref="A44" authorId="0">
      <text>
        <r>
          <rPr>
            <sz val="8"/>
            <rFont val="Tahoma"/>
            <family val="2"/>
          </rPr>
          <t>B44: Death Loss Cost per Head – The lost value of any dead animals during the feeding period and is calculated from the estimated death loss percentage.  The cost of half of the feed for one animal for the entire feeding period is included in this calculation.</t>
        </r>
      </text>
    </comment>
    <comment ref="A45" authorId="0">
      <text>
        <r>
          <rPr>
            <sz val="8"/>
            <rFont val="Tahoma"/>
            <family val="2"/>
          </rPr>
          <t xml:space="preserve">B45: Total Yardage Cost per Head – Calculated from the estimated days on feed and the daily yardage charge per head.
</t>
        </r>
      </text>
    </comment>
    <comment ref="A46" authorId="0">
      <text>
        <r>
          <rPr>
            <sz val="8"/>
            <rFont val="Tahoma"/>
            <family val="2"/>
          </rPr>
          <t>B46: Expected Finish Date – The expected harvest date for the cattle in question, calculated from the in-weight, out-weight an average daily gain.</t>
        </r>
      </text>
    </comment>
    <comment ref="A47" authorId="0">
      <text>
        <r>
          <rPr>
            <sz val="8"/>
            <rFont val="Tahoma"/>
            <family val="2"/>
          </rPr>
          <t>B47: Total Cost of Feeding per Head – The sum of all costs incurred during the feeding period per head.</t>
        </r>
      </text>
    </comment>
    <comment ref="A49" authorId="0">
      <text>
        <r>
          <rPr>
            <sz val="8"/>
            <rFont val="Tahoma"/>
            <family val="2"/>
          </rPr>
          <t>B49: Initial Cost of Gain – This is the cost of 100 pounds of live weight gain per animal.  Death loss and interest costs are not included.</t>
        </r>
      </text>
    </comment>
    <comment ref="A50" authorId="0">
      <text>
        <r>
          <rPr>
            <sz val="8"/>
            <rFont val="Tahoma"/>
            <family val="2"/>
          </rPr>
          <t xml:space="preserve">B50: Total Cost of Gain – The total cost of 100 pounds of live weight gain per animal with interest charges and death loss accounted for.
</t>
        </r>
      </text>
    </comment>
    <comment ref="E16" authorId="0">
      <text>
        <r>
          <rPr>
            <sz val="8"/>
            <rFont val="Tahoma"/>
            <family val="2"/>
          </rPr>
          <t xml:space="preserve">F16-F21: The percentage of Prime, CAB®, Choice, Select and Standard carcasses.  Percentages for Prime, Choice, Select and Standard should add up to 100% in cell F21.  The CAB® percentage (cell F17) is considered entirely separate from the other quality grade descriptions and does not influence the total in cell F21.  Every CAB® qualified carcass will also have been graded as a Choice or Prime quality grade carcass, so CAB® carcasses are accounted for in more than one percentage section.
</t>
        </r>
      </text>
    </comment>
    <comment ref="E25" authorId="0">
      <text>
        <r>
          <rPr>
            <sz val="8"/>
            <rFont val="Tahoma"/>
            <family val="2"/>
          </rPr>
          <t>F25-F30: Estimate the percentage of Yield Grades 1 through 5.  The total in cell F30 must be 100%.</t>
        </r>
      </text>
    </comment>
    <comment ref="E34" authorId="0">
      <text>
        <r>
          <rPr>
            <sz val="8"/>
            <rFont val="Tahoma"/>
            <family val="2"/>
          </rPr>
          <t xml:space="preserve">F34-F35: The percentage of lightweight and heavyweight carcasses should be accounted for here.  In most cases, the lightweight category will be estimated at zero percent, but some nominal percentage of heavyweight carcasses may be estimated as a safeguard.  This will depend on the genetic potential of the cattle and management of the feedlot.  </t>
        </r>
      </text>
    </comment>
    <comment ref="E40" authorId="0">
      <text>
        <r>
          <rPr>
            <sz val="8"/>
            <rFont val="Tahoma"/>
            <family val="2"/>
          </rPr>
          <t>G40: The expected dressing percentage of the cattle may be difficult to arrive at by the cow-calf operator or backgrounder.  The industry standard of 63.5% should be used if further information is unavailable.  Heavier muscled or fatter cattle may achieve a higher dressing percentage while lighter muscled or leaner cattle will achieve a smaller dressing percentage.  As well, excessive gut fill at the time of harvest and excessive mud on the hide at harvest will create a lower dressing percentage.  The latter two factors are not easily adjusted for in a breakeven analysis.</t>
        </r>
      </text>
    </comment>
    <comment ref="F47" authorId="0">
      <text>
        <r>
          <rPr>
            <sz val="8"/>
            <rFont val="Tahoma"/>
            <family val="2"/>
          </rPr>
          <t xml:space="preserve">K47: Weight per Head – The average weight of the cattle at the time of transfer from the ranch of origin to the feedlot.  This is simply re-stated here from cell B17.
</t>
        </r>
      </text>
    </comment>
    <comment ref="F48" authorId="0">
      <text>
        <r>
          <rPr>
            <sz val="8"/>
            <rFont val="Tahoma"/>
            <family val="2"/>
          </rPr>
          <t xml:space="preserve">K48: Breakeven Feeder Calf Price (based on Live Sale) - The breakeven sale price for the cattle. This represents the same return as would be realized if the cattle were retained and placed in a feedlot.  This price is derived from the “live sale” calculation that was used in the Fed Cattle Marketing Parameters.
</t>
        </r>
      </text>
    </comment>
    <comment ref="F49" authorId="0">
      <text>
        <r>
          <rPr>
            <sz val="8"/>
            <rFont val="Tahoma"/>
            <family val="2"/>
          </rPr>
          <t>K49: Breakeven Feeder Calf Price (base on Grid Sale) – Similar to the “live sale” breakeven, the breakeven price based on a “grid sale” is derived by including the premiums or discounts that were estimated and would influence the final fed cattle price per pound.  Dressing percentage and freight to the packing plant are also accounted for in this number.</t>
        </r>
      </text>
    </comment>
    <comment ref="J40" authorId="0">
      <text>
        <r>
          <rPr>
            <sz val="8"/>
            <rFont val="Tahoma"/>
            <family val="2"/>
          </rPr>
          <t xml:space="preserve">M40-M43: Freight costs to ship fed cattle to a packing plant are often the responsibility of the seller and may be estimated by considering mileage and freight costs per mile.  Some grid marketing situations include an allowance for freight costs, so marketing options should be evaluated with this factor in mind.
</t>
        </r>
      </text>
    </comment>
    <comment ref="I16" authorId="1">
      <text>
        <r>
          <rPr>
            <sz val="8"/>
            <rFont val="Tahoma"/>
            <family val="2"/>
          </rPr>
          <t>H16-H20: The premiums and discounts per carcass hundredweight for each of the quality grade categories.  Consultation with a  feedlot manager or other knowledgable person may assist in deriving current values for a given grid pricing system.</t>
        </r>
      </text>
    </comment>
    <comment ref="I25" authorId="1">
      <text>
        <r>
          <rPr>
            <sz val="8"/>
            <rFont val="Tahoma"/>
            <family val="2"/>
          </rPr>
          <t>H25-H29: The premiums and discounts per carcass hundredweight for each of the yield grade categories.  Consultation with a  feedlot manager or other knowledgable person may assist in deriving current values for a given grid pricing system.</t>
        </r>
      </text>
    </comment>
    <comment ref="I34" authorId="1">
      <text>
        <r>
          <rPr>
            <sz val="8"/>
            <rFont val="Tahoma"/>
            <family val="2"/>
          </rPr>
          <t>H34-H35: The price discounts per carcass hundredweight for underweight or overweight carcasses.  Consultation with a  feedlot manager or other knowledgable person may assist in deriving current values for a given grid pricing system.</t>
        </r>
      </text>
    </comment>
    <comment ref="J42" authorId="1">
      <text>
        <r>
          <rPr>
            <sz val="8"/>
            <rFont val="Tahoma"/>
            <family val="2"/>
          </rPr>
          <t xml:space="preserve">N42: Miles to Packing Plant - Distance from the feedlot to the packing plant
</t>
        </r>
      </text>
    </comment>
  </commentList>
</comments>
</file>

<file path=xl/sharedStrings.xml><?xml version="1.0" encoding="utf-8"?>
<sst xmlns="http://schemas.openxmlformats.org/spreadsheetml/2006/main" count="110" uniqueCount="100">
  <si>
    <t>Trucking Mileage</t>
  </si>
  <si>
    <t>Trucking Cost</t>
  </si>
  <si>
    <t>Number of Loads</t>
  </si>
  <si>
    <t>$ / Cwt.</t>
  </si>
  <si>
    <t>$ / Head</t>
  </si>
  <si>
    <t>Average Daily Gain</t>
  </si>
  <si>
    <t>Death Loss Percentage</t>
  </si>
  <si>
    <t>Days on Feed</t>
  </si>
  <si>
    <t>In Date</t>
  </si>
  <si>
    <t>Expected Finish Date</t>
  </si>
  <si>
    <t>Feed Cost of Gain</t>
  </si>
  <si>
    <t>Yardage Charge / Head / Day</t>
  </si>
  <si>
    <t>Feed Interest Cost per Head</t>
  </si>
  <si>
    <t>Death Loss Cost per Head</t>
  </si>
  <si>
    <t>Vet/Med./Processing Cost Per Head</t>
  </si>
  <si>
    <t>Total Feed Cost per Head</t>
  </si>
  <si>
    <t>Equity per Head at Purchase</t>
  </si>
  <si>
    <t>Total DM Consumption per Head</t>
  </si>
  <si>
    <t>Total Yardage Cost per Head</t>
  </si>
  <si>
    <t>Cattle Weight per Truck</t>
  </si>
  <si>
    <t>Total</t>
  </si>
  <si>
    <t>Prime</t>
  </si>
  <si>
    <t>CAB®</t>
  </si>
  <si>
    <t>CH/SE Spread</t>
  </si>
  <si>
    <t>YG 1</t>
  </si>
  <si>
    <t>YG 2</t>
  </si>
  <si>
    <t>YG 3</t>
  </si>
  <si>
    <t>YG 4</t>
  </si>
  <si>
    <t>YG 5</t>
  </si>
  <si>
    <t>Age/Source Verified Premium per Head</t>
  </si>
  <si>
    <t>Plant Average % Choice</t>
  </si>
  <si>
    <t xml:space="preserve">Head per Load </t>
  </si>
  <si>
    <t>Miles to Packing Plant</t>
  </si>
  <si>
    <t>Freight Cost per Head to Plant</t>
  </si>
  <si>
    <t>Freight Rate per Mile to Packing Plant</t>
  </si>
  <si>
    <t>Live Market</t>
  </si>
  <si>
    <t>Grid Market</t>
  </si>
  <si>
    <t>Total Cost of Feeding Per Head</t>
  </si>
  <si>
    <t>Feed Conversion (DM)</t>
  </si>
  <si>
    <t>Ration Cost Per Ton (DM)</t>
  </si>
  <si>
    <t>Average Daily Consumption (DM)</t>
  </si>
  <si>
    <t>Instructions</t>
  </si>
  <si>
    <t>1. Only blue cells can be changed to modify assumptions</t>
  </si>
  <si>
    <t>This spreadsheet guarantees neither performance nor market conditions for cattle, commodities or services.</t>
  </si>
  <si>
    <t>Other Premium per Head (natural, etc.)</t>
  </si>
  <si>
    <t>Feeding Parameters</t>
  </si>
  <si>
    <t>Interest Rate % (Cattle)</t>
  </si>
  <si>
    <t>Interest Rate % (Feed)</t>
  </si>
  <si>
    <t>Pay Weight Out (after shrink)</t>
  </si>
  <si>
    <t>Trucking Charge / Mile</t>
  </si>
  <si>
    <r>
      <t xml:space="preserve">2. </t>
    </r>
    <r>
      <rPr>
        <b/>
        <sz val="11"/>
        <color indexed="8"/>
        <rFont val="Calibri"/>
        <family val="2"/>
      </rPr>
      <t>All blue cells must be properly filled</t>
    </r>
    <r>
      <rPr>
        <sz val="11"/>
        <color theme="1"/>
        <rFont val="Calibri"/>
        <family val="2"/>
      </rPr>
      <t xml:space="preserve"> in order for calculations to return accurate results</t>
    </r>
  </si>
  <si>
    <t>Finished Cattle Marketing Parameters</t>
  </si>
  <si>
    <t>Basis</t>
  </si>
  <si>
    <t>Checkoff per Head</t>
  </si>
  <si>
    <t>Live Cattle Futures Price for Delivery Month</t>
  </si>
  <si>
    <t>Live Price</t>
  </si>
  <si>
    <t>Total Cost of Feeding (w/ cattle int. &amp; death loss)</t>
  </si>
  <si>
    <t>New Purchase Breakeven per Head (Live Sale)</t>
  </si>
  <si>
    <t>New Purchase Breakeven per Head (Grid Sale)</t>
  </si>
  <si>
    <t>3. If cattle or feed will not be financed, then make "Interest Rate %" equal to zero</t>
  </si>
  <si>
    <t>Initial Breakeven per Head (ref. final live price)</t>
  </si>
  <si>
    <t>Amt. Financed per Head (ref. final live price)</t>
  </si>
  <si>
    <r>
      <t xml:space="preserve">Initial Cost of Gain </t>
    </r>
    <r>
      <rPr>
        <sz val="11"/>
        <color theme="1"/>
        <rFont val="Calibri"/>
        <family val="2"/>
      </rPr>
      <t>(less cattle interest,death loss)</t>
    </r>
  </si>
  <si>
    <t>Cattle Interest (using live sale final price)</t>
  </si>
  <si>
    <t xml:space="preserve">7. All Feeding Parameters are figured on a "pay weight to pay weight" basis.  </t>
  </si>
  <si>
    <t>Standard</t>
  </si>
  <si>
    <t>4. Quality Grade percentages for Prime, Choice, Select and Standard must equal 100%</t>
  </si>
  <si>
    <t xml:space="preserve">     "Plant Average % Choice" to derive the net premium/discount from Choice and Select.</t>
  </si>
  <si>
    <t>Choice</t>
  </si>
  <si>
    <t>Select</t>
  </si>
  <si>
    <t>Quality Grade</t>
  </si>
  <si>
    <t>Category</t>
  </si>
  <si>
    <t>Percentage</t>
  </si>
  <si>
    <t xml:space="preserve"> Grid Marketing Parameters</t>
  </si>
  <si>
    <t>Net Effect   $ / Cwt.</t>
  </si>
  <si>
    <t>Net QG Effect</t>
  </si>
  <si>
    <t>Yield Grade</t>
  </si>
  <si>
    <t>Net YG Effect</t>
  </si>
  <si>
    <t>Weight</t>
  </si>
  <si>
    <t>&lt;550 lbs.</t>
  </si>
  <si>
    <t>&gt;1,000 lbs.</t>
  </si>
  <si>
    <t>Dressing Percent</t>
  </si>
  <si>
    <t>Net Wt. Effect</t>
  </si>
  <si>
    <t>Total Net Change to Carcass Price / Cwt.</t>
  </si>
  <si>
    <t>5. CAB® % (cell F16) is not included in the percentage total for cell F20, it is considered separately.</t>
  </si>
  <si>
    <t>Total Cost of Gain / Cwt.</t>
  </si>
  <si>
    <t>Feeder Calf Delivery Parameters</t>
  </si>
  <si>
    <t>Number of Head</t>
  </si>
  <si>
    <t>Weight per Head</t>
  </si>
  <si>
    <t>Breakeven Calf Price - Results</t>
  </si>
  <si>
    <t>Breakeven Feeder Calf Price (based on Live sale)</t>
  </si>
  <si>
    <t>Breakeven Feeder Calf Price (based on Grid sale)</t>
  </si>
  <si>
    <t>Premium or Discount $/Cwt.</t>
  </si>
  <si>
    <t>Discount $/Cwt.</t>
  </si>
  <si>
    <r>
      <rPr>
        <sz val="11"/>
        <color indexed="8"/>
        <rFont val="Calibri"/>
        <family val="2"/>
      </rPr>
      <t xml:space="preserve">     </t>
    </r>
    <r>
      <rPr>
        <sz val="11"/>
        <color theme="1"/>
        <rFont val="Calibri"/>
        <family val="2"/>
      </rPr>
      <t xml:space="preserve">Equivalent Live Price </t>
    </r>
    <r>
      <rPr>
        <sz val="9"/>
        <color indexed="8"/>
        <rFont val="Calibri"/>
        <family val="2"/>
      </rPr>
      <t>(at 63.5% yield)</t>
    </r>
  </si>
  <si>
    <r>
      <t xml:space="preserve">     Equivalent Carcass Price </t>
    </r>
    <r>
      <rPr>
        <sz val="9"/>
        <color indexed="8"/>
        <rFont val="Calibri"/>
        <family val="2"/>
      </rPr>
      <t>(at 63.5% yield)</t>
    </r>
  </si>
  <si>
    <r>
      <t xml:space="preserve">Carcass Price </t>
    </r>
    <r>
      <rPr>
        <sz val="9"/>
        <color indexed="8"/>
        <rFont val="Calibri"/>
        <family val="2"/>
      </rPr>
      <t>(with grid and freight to packer)</t>
    </r>
  </si>
  <si>
    <t>8. Click on red triangle for explanation of specific data to enter into cell.</t>
  </si>
  <si>
    <t xml:space="preserve">7. The Choice premium and Select discount are calculated together and placed against the </t>
  </si>
  <si>
    <t>www.cabpartners.com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</si>
</sst>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0_);_(* \(#,##0.0\);_(* &quot;-&quot;??_);_(@_)"/>
    <numFmt numFmtId="166" formatCode="0.0%"/>
    <numFmt numFmtId="167" formatCode="&quot;$&quot;#,##0.000"/>
  </numFmts>
  <fonts count="50">
    <font>
      <sz val="11"/>
      <color theme="1"/>
      <name val="Calibri"/>
      <family val="2"/>
    </font>
    <font>
      <sz val="11"/>
      <color indexed="8"/>
      <name val="Calibri"/>
      <family val="2"/>
    </font>
    <font>
      <b/>
      <sz val="11"/>
      <color indexed="8"/>
      <name val="Calibri"/>
      <family val="2"/>
    </font>
    <font>
      <sz val="8"/>
      <name val="Tahoma"/>
      <family val="0"/>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i/>
      <u val="single"/>
      <sz val="11"/>
      <color indexed="10"/>
      <name val="Calibri"/>
      <family val="2"/>
    </font>
    <font>
      <b/>
      <sz val="9"/>
      <color indexed="8"/>
      <name val="Calibri"/>
      <family val="2"/>
    </font>
    <font>
      <b/>
      <sz val="10"/>
      <color indexed="8"/>
      <name val="Calibri"/>
      <family val="2"/>
    </font>
    <font>
      <sz val="10"/>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u val="single"/>
      <sz val="11"/>
      <color rgb="FFFF0000"/>
      <name val="Calibri"/>
      <family val="2"/>
    </font>
    <font>
      <b/>
      <sz val="9"/>
      <color theme="1"/>
      <name val="Calibri"/>
      <family val="2"/>
    </font>
    <font>
      <sz val="9"/>
      <color theme="1"/>
      <name val="Calibri"/>
      <family val="2"/>
    </font>
    <font>
      <b/>
      <sz val="10"/>
      <color theme="1"/>
      <name val="Calibri"/>
      <family val="2"/>
    </font>
    <font>
      <sz val="1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bgColor indexed="64"/>
      </patternFill>
    </fill>
    <fill>
      <patternFill patternType="solid">
        <fgColor theme="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style="medium"/>
      <right/>
      <top/>
      <bottom/>
    </border>
    <border>
      <left/>
      <right style="medium"/>
      <top/>
      <bottom/>
    </border>
    <border>
      <left style="medium"/>
      <right/>
      <top/>
      <bottom style="medium"/>
    </border>
    <border>
      <left/>
      <right/>
      <top/>
      <bottom style="medium"/>
    </border>
    <border>
      <left style="medium"/>
      <right style="medium"/>
      <top style="medium"/>
      <bottom style="medium"/>
    </border>
    <border>
      <left/>
      <right/>
      <top style="medium"/>
      <bottom style="medium"/>
    </border>
    <border>
      <left style="medium"/>
      <right/>
      <top style="medium"/>
      <bottom/>
    </border>
    <border>
      <left style="medium"/>
      <right/>
      <top style="medium"/>
      <bottom style="medium"/>
    </border>
    <border>
      <left/>
      <right style="medium"/>
      <top style="medium"/>
      <bottom/>
    </border>
    <border>
      <left/>
      <right style="medium"/>
      <top style="medium"/>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72">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42" fillId="0" borderId="0" xfId="0" applyFont="1" applyBorder="1" applyAlignment="1">
      <alignment horizontal="center"/>
    </xf>
    <xf numFmtId="0" fontId="0" fillId="33" borderId="0" xfId="0" applyFont="1" applyFill="1" applyBorder="1" applyAlignment="1" applyProtection="1">
      <alignment/>
      <protection locked="0"/>
    </xf>
    <xf numFmtId="0" fontId="0" fillId="0" borderId="0" xfId="0" applyFont="1" applyBorder="1" applyAlignment="1">
      <alignment horizontal="center"/>
    </xf>
    <xf numFmtId="164" fontId="0" fillId="33" borderId="0" xfId="0" applyNumberFormat="1" applyFont="1" applyFill="1" applyBorder="1" applyAlignment="1" applyProtection="1">
      <alignment/>
      <protection locked="0"/>
    </xf>
    <xf numFmtId="3" fontId="0" fillId="0" borderId="0" xfId="0" applyNumberFormat="1" applyFont="1" applyBorder="1" applyAlignment="1">
      <alignment/>
    </xf>
    <xf numFmtId="3" fontId="0" fillId="33" borderId="0" xfId="0" applyNumberFormat="1" applyFont="1" applyFill="1" applyBorder="1" applyAlignment="1" applyProtection="1">
      <alignment/>
      <protection locked="0"/>
    </xf>
    <xf numFmtId="164" fontId="0" fillId="0" borderId="0" xfId="0" applyNumberFormat="1" applyFont="1" applyBorder="1" applyAlignment="1">
      <alignment horizontal="center"/>
    </xf>
    <xf numFmtId="0" fontId="42" fillId="0" borderId="0"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11" xfId="0" applyFont="1" applyBorder="1" applyAlignment="1">
      <alignment/>
    </xf>
    <xf numFmtId="9" fontId="0" fillId="33" borderId="0" xfId="0" applyNumberFormat="1" applyFont="1" applyFill="1" applyBorder="1" applyAlignment="1" applyProtection="1">
      <alignment horizontal="center"/>
      <protection locked="0"/>
    </xf>
    <xf numFmtId="0" fontId="0" fillId="0" borderId="12" xfId="0" applyFont="1" applyBorder="1" applyAlignment="1">
      <alignment/>
    </xf>
    <xf numFmtId="0" fontId="42" fillId="0" borderId="11" xfId="0" applyFont="1" applyBorder="1" applyAlignment="1">
      <alignment/>
    </xf>
    <xf numFmtId="164" fontId="0" fillId="0" borderId="0" xfId="0" applyNumberFormat="1" applyFont="1" applyAlignment="1">
      <alignment/>
    </xf>
    <xf numFmtId="9" fontId="0" fillId="33" borderId="0" xfId="59" applyNumberFormat="1" applyFont="1" applyFill="1" applyBorder="1" applyAlignment="1" applyProtection="1">
      <alignment horizontal="center"/>
      <protection locked="0"/>
    </xf>
    <xf numFmtId="0" fontId="0" fillId="0" borderId="13" xfId="0" applyFont="1" applyBorder="1" applyAlignment="1">
      <alignment/>
    </xf>
    <xf numFmtId="9" fontId="0" fillId="0" borderId="0" xfId="59" applyNumberFormat="1" applyFont="1" applyFill="1" applyBorder="1" applyAlignment="1">
      <alignment horizontal="center"/>
    </xf>
    <xf numFmtId="0" fontId="0" fillId="33" borderId="12" xfId="0" applyFont="1" applyFill="1" applyBorder="1" applyAlignment="1" applyProtection="1">
      <alignment/>
      <protection locked="0"/>
    </xf>
    <xf numFmtId="0" fontId="0" fillId="0" borderId="14" xfId="0" applyFont="1" applyBorder="1" applyAlignment="1">
      <alignment/>
    </xf>
    <xf numFmtId="164" fontId="0" fillId="0" borderId="0" xfId="0" applyNumberFormat="1" applyFont="1" applyBorder="1" applyAlignment="1">
      <alignment/>
    </xf>
    <xf numFmtId="0" fontId="42" fillId="0" borderId="15" xfId="0" applyFont="1" applyBorder="1" applyAlignment="1">
      <alignment horizontal="center"/>
    </xf>
    <xf numFmtId="0" fontId="0" fillId="0" borderId="11" xfId="0" applyBorder="1" applyAlignment="1">
      <alignment horizontal="center"/>
    </xf>
    <xf numFmtId="0" fontId="0" fillId="0" borderId="0" xfId="0" applyBorder="1" applyAlignment="1">
      <alignment/>
    </xf>
    <xf numFmtId="7" fontId="0" fillId="0" borderId="0" xfId="0" applyNumberFormat="1" applyFont="1" applyAlignment="1">
      <alignment/>
    </xf>
    <xf numFmtId="0" fontId="0" fillId="0" borderId="0" xfId="0" applyFill="1" applyBorder="1" applyAlignment="1">
      <alignment/>
    </xf>
    <xf numFmtId="164" fontId="0" fillId="0" borderId="0" xfId="0" applyNumberFormat="1" applyFont="1" applyAlignment="1" applyProtection="1">
      <alignment/>
      <protection/>
    </xf>
    <xf numFmtId="3" fontId="0" fillId="0" borderId="0" xfId="0" applyNumberFormat="1" applyFont="1" applyBorder="1" applyAlignment="1" applyProtection="1">
      <alignment/>
      <protection/>
    </xf>
    <xf numFmtId="164" fontId="0" fillId="0" borderId="0" xfId="0" applyNumberFormat="1" applyFont="1" applyBorder="1" applyAlignment="1" applyProtection="1">
      <alignment/>
      <protection/>
    </xf>
    <xf numFmtId="164" fontId="0" fillId="0" borderId="0" xfId="0" applyNumberFormat="1" applyFont="1" applyFill="1" applyBorder="1" applyAlignment="1" applyProtection="1">
      <alignment/>
      <protection/>
    </xf>
    <xf numFmtId="0" fontId="0" fillId="0" borderId="0" xfId="0" applyFont="1" applyBorder="1" applyAlignment="1">
      <alignment vertical="center"/>
    </xf>
    <xf numFmtId="0" fontId="42" fillId="0" borderId="13" xfId="0" applyFont="1" applyBorder="1" applyAlignment="1">
      <alignment/>
    </xf>
    <xf numFmtId="0" fontId="0" fillId="0" borderId="0" xfId="0" applyBorder="1" applyAlignment="1">
      <alignment horizontal="center"/>
    </xf>
    <xf numFmtId="0" fontId="0" fillId="0" borderId="16" xfId="0" applyFont="1" applyBorder="1" applyAlignment="1">
      <alignment/>
    </xf>
    <xf numFmtId="10" fontId="42" fillId="0" borderId="0" xfId="0" applyNumberFormat="1" applyFont="1" applyBorder="1" applyAlignment="1" applyProtection="1">
      <alignment horizontal="center"/>
      <protection/>
    </xf>
    <xf numFmtId="0" fontId="0" fillId="0" borderId="17" xfId="0" applyBorder="1" applyAlignment="1">
      <alignment horizontal="center"/>
    </xf>
    <xf numFmtId="9" fontId="0" fillId="33" borderId="10" xfId="0" applyNumberFormat="1" applyFont="1" applyFill="1" applyBorder="1" applyAlignment="1" applyProtection="1">
      <alignment horizontal="center"/>
      <protection locked="0"/>
    </xf>
    <xf numFmtId="0" fontId="0" fillId="0" borderId="10" xfId="0" applyFont="1" applyBorder="1" applyAlignment="1">
      <alignment horizontal="center"/>
    </xf>
    <xf numFmtId="10" fontId="42" fillId="0" borderId="14" xfId="0" applyNumberFormat="1" applyFont="1" applyBorder="1" applyAlignment="1" applyProtection="1">
      <alignment/>
      <protection/>
    </xf>
    <xf numFmtId="8" fontId="0" fillId="33" borderId="0" xfId="0" applyNumberFormat="1" applyFont="1" applyFill="1" applyBorder="1" applyAlignment="1" applyProtection="1">
      <alignment horizontal="center"/>
      <protection locked="0"/>
    </xf>
    <xf numFmtId="9" fontId="0" fillId="0" borderId="0" xfId="59" applyNumberFormat="1" applyFont="1" applyFill="1" applyBorder="1" applyAlignment="1" applyProtection="1">
      <alignment horizontal="center"/>
      <protection locked="0"/>
    </xf>
    <xf numFmtId="0" fontId="0" fillId="0" borderId="13" xfId="0" applyBorder="1" applyAlignment="1">
      <alignment horizontal="center"/>
    </xf>
    <xf numFmtId="0" fontId="0" fillId="0" borderId="14" xfId="0" applyBorder="1" applyAlignment="1">
      <alignment horizontal="center"/>
    </xf>
    <xf numFmtId="9" fontId="0" fillId="0" borderId="14" xfId="59" applyNumberFormat="1" applyFont="1" applyFill="1" applyBorder="1" applyAlignment="1" applyProtection="1">
      <alignment horizontal="center"/>
      <protection locked="0"/>
    </xf>
    <xf numFmtId="0" fontId="0" fillId="0" borderId="18" xfId="0" applyBorder="1" applyAlignment="1">
      <alignment horizontal="center"/>
    </xf>
    <xf numFmtId="7" fontId="0" fillId="0" borderId="12" xfId="0" applyNumberFormat="1" applyFont="1" applyBorder="1" applyAlignment="1" applyProtection="1">
      <alignment horizontal="center"/>
      <protection/>
    </xf>
    <xf numFmtId="7" fontId="0" fillId="0" borderId="19" xfId="0" applyNumberFormat="1" applyFont="1" applyBorder="1" applyAlignment="1">
      <alignment horizontal="center"/>
    </xf>
    <xf numFmtId="7" fontId="42" fillId="0" borderId="20" xfId="0" applyNumberFormat="1" applyFont="1" applyBorder="1" applyAlignment="1" applyProtection="1">
      <alignment horizontal="center"/>
      <protection/>
    </xf>
    <xf numFmtId="0" fontId="42" fillId="0" borderId="0" xfId="0" applyFont="1" applyBorder="1" applyAlignment="1">
      <alignment horizontal="right"/>
    </xf>
    <xf numFmtId="10" fontId="0" fillId="33" borderId="19" xfId="0" applyNumberFormat="1" applyFont="1" applyFill="1" applyBorder="1" applyAlignment="1" applyProtection="1">
      <alignment horizontal="center"/>
      <protection locked="0"/>
    </xf>
    <xf numFmtId="9" fontId="0" fillId="33" borderId="21" xfId="59" applyNumberFormat="1" applyFont="1" applyFill="1" applyBorder="1" applyAlignment="1" applyProtection="1">
      <alignment horizontal="center"/>
      <protection locked="0"/>
    </xf>
    <xf numFmtId="7" fontId="0" fillId="33" borderId="19" xfId="44" applyNumberFormat="1" applyFont="1" applyFill="1" applyBorder="1" applyAlignment="1" applyProtection="1">
      <alignment/>
      <protection locked="0"/>
    </xf>
    <xf numFmtId="164" fontId="0" fillId="33" borderId="0" xfId="0" applyNumberFormat="1" applyFont="1" applyFill="1" applyBorder="1" applyAlignment="1" applyProtection="1">
      <alignment horizontal="center"/>
      <protection locked="0"/>
    </xf>
    <xf numFmtId="7" fontId="0" fillId="33" borderId="0" xfId="0" applyNumberFormat="1" applyFont="1" applyFill="1" applyBorder="1" applyAlignment="1" applyProtection="1">
      <alignment horizontal="center"/>
      <protection locked="0"/>
    </xf>
    <xf numFmtId="0" fontId="0" fillId="0" borderId="18" xfId="0" applyBorder="1" applyAlignment="1">
      <alignment/>
    </xf>
    <xf numFmtId="7" fontId="0" fillId="0" borderId="20" xfId="44" applyNumberFormat="1" applyFont="1" applyBorder="1" applyAlignment="1" applyProtection="1">
      <alignment/>
      <protection/>
    </xf>
    <xf numFmtId="0" fontId="0" fillId="34" borderId="17" xfId="0" applyFont="1" applyFill="1" applyBorder="1" applyAlignment="1">
      <alignment/>
    </xf>
    <xf numFmtId="0" fontId="0" fillId="34" borderId="10" xfId="0" applyFont="1" applyFill="1" applyBorder="1" applyAlignment="1">
      <alignment/>
    </xf>
    <xf numFmtId="0" fontId="0" fillId="34" borderId="10" xfId="0" applyFill="1" applyBorder="1" applyAlignment="1">
      <alignment/>
    </xf>
    <xf numFmtId="0" fontId="0" fillId="34" borderId="19" xfId="0" applyFont="1" applyFill="1" applyBorder="1" applyAlignment="1">
      <alignment/>
    </xf>
    <xf numFmtId="0" fontId="0" fillId="34" borderId="11" xfId="0" applyFont="1" applyFill="1" applyBorder="1" applyAlignment="1">
      <alignment/>
    </xf>
    <xf numFmtId="0" fontId="0" fillId="34" borderId="12" xfId="0" applyFill="1" applyBorder="1" applyAlignment="1">
      <alignment/>
    </xf>
    <xf numFmtId="0" fontId="0" fillId="34" borderId="12" xfId="0" applyFont="1" applyFill="1" applyBorder="1" applyAlignment="1">
      <alignment/>
    </xf>
    <xf numFmtId="0" fontId="0" fillId="34" borderId="13" xfId="0" applyFont="1" applyFill="1" applyBorder="1" applyAlignment="1">
      <alignment/>
    </xf>
    <xf numFmtId="0" fontId="0" fillId="34" borderId="14" xfId="0" applyFont="1" applyFill="1" applyBorder="1" applyAlignment="1">
      <alignment/>
    </xf>
    <xf numFmtId="0" fontId="0" fillId="34" borderId="21" xfId="0" applyFont="1" applyFill="1" applyBorder="1" applyAlignment="1">
      <alignment/>
    </xf>
    <xf numFmtId="0" fontId="42" fillId="34" borderId="11" xfId="0" applyFont="1" applyFill="1" applyBorder="1" applyAlignment="1">
      <alignment horizontal="left"/>
    </xf>
    <xf numFmtId="0" fontId="0" fillId="0" borderId="11" xfId="0" applyFont="1" applyBorder="1" applyAlignment="1">
      <alignment horizontal="left"/>
    </xf>
    <xf numFmtId="164" fontId="0" fillId="33" borderId="12" xfId="0" applyNumberFormat="1" applyFont="1" applyFill="1" applyBorder="1" applyAlignment="1" applyProtection="1">
      <alignment/>
      <protection locked="0"/>
    </xf>
    <xf numFmtId="0" fontId="0" fillId="0" borderId="11" xfId="0" applyBorder="1" applyAlignment="1">
      <alignment horizontal="left"/>
    </xf>
    <xf numFmtId="8" fontId="0" fillId="33" borderId="12" xfId="0" applyNumberFormat="1" applyFont="1" applyFill="1" applyBorder="1" applyAlignment="1" applyProtection="1">
      <alignment horizontal="right"/>
      <protection locked="0"/>
    </xf>
    <xf numFmtId="164" fontId="0" fillId="35" borderId="12" xfId="0" applyNumberFormat="1" applyFont="1" applyFill="1" applyBorder="1" applyAlignment="1" applyProtection="1">
      <alignment/>
      <protection/>
    </xf>
    <xf numFmtId="8" fontId="0" fillId="33" borderId="12" xfId="0" applyNumberFormat="1" applyFont="1" applyFill="1" applyBorder="1" applyAlignment="1" applyProtection="1">
      <alignment/>
      <protection locked="0"/>
    </xf>
    <xf numFmtId="8" fontId="0" fillId="0" borderId="12" xfId="0" applyNumberFormat="1" applyFont="1" applyFill="1" applyBorder="1" applyAlignment="1">
      <alignment/>
    </xf>
    <xf numFmtId="164" fontId="0" fillId="0" borderId="12" xfId="0" applyNumberFormat="1" applyFont="1" applyBorder="1" applyAlignment="1" applyProtection="1">
      <alignment/>
      <protection/>
    </xf>
    <xf numFmtId="164" fontId="0" fillId="0" borderId="12" xfId="0" applyNumberFormat="1" applyFont="1" applyBorder="1" applyAlignment="1">
      <alignment/>
    </xf>
    <xf numFmtId="0" fontId="0" fillId="0" borderId="11" xfId="0" applyBorder="1" applyAlignment="1">
      <alignment/>
    </xf>
    <xf numFmtId="0" fontId="0" fillId="0" borderId="13" xfId="0" applyBorder="1" applyAlignment="1">
      <alignment/>
    </xf>
    <xf numFmtId="164" fontId="0" fillId="0" borderId="21" xfId="0" applyNumberFormat="1" applyFont="1" applyBorder="1" applyAlignment="1" applyProtection="1">
      <alignment/>
      <protection/>
    </xf>
    <xf numFmtId="0" fontId="0" fillId="0" borderId="12" xfId="0" applyFont="1" applyBorder="1" applyAlignment="1">
      <alignment horizontal="center"/>
    </xf>
    <xf numFmtId="3" fontId="0" fillId="0" borderId="12" xfId="0" applyNumberFormat="1" applyFont="1" applyBorder="1" applyAlignment="1">
      <alignment horizontal="center"/>
    </xf>
    <xf numFmtId="0" fontId="42" fillId="0" borderId="12" xfId="0" applyFont="1" applyBorder="1" applyAlignment="1">
      <alignment horizontal="center"/>
    </xf>
    <xf numFmtId="164" fontId="0" fillId="0" borderId="14" xfId="0" applyNumberFormat="1" applyFont="1" applyBorder="1" applyAlignment="1" applyProtection="1">
      <alignment horizontal="center"/>
      <protection/>
    </xf>
    <xf numFmtId="164" fontId="0" fillId="0" borderId="21" xfId="0" applyNumberFormat="1" applyFont="1" applyBorder="1" applyAlignment="1" applyProtection="1">
      <alignment horizontal="center"/>
      <protection/>
    </xf>
    <xf numFmtId="14" fontId="0" fillId="33" borderId="12" xfId="0" applyNumberFormat="1" applyFont="1" applyFill="1" applyBorder="1" applyAlignment="1" applyProtection="1">
      <alignment/>
      <protection locked="0"/>
    </xf>
    <xf numFmtId="2" fontId="0" fillId="33" borderId="12" xfId="0" applyNumberFormat="1" applyFont="1" applyFill="1" applyBorder="1" applyAlignment="1" applyProtection="1">
      <alignment/>
      <protection locked="0"/>
    </xf>
    <xf numFmtId="7" fontId="0" fillId="33" borderId="12" xfId="44" applyNumberFormat="1" applyFont="1" applyFill="1" applyBorder="1" applyAlignment="1" applyProtection="1">
      <alignment/>
      <protection locked="0"/>
    </xf>
    <xf numFmtId="7" fontId="0" fillId="33" borderId="12" xfId="44" applyNumberFormat="1" applyFont="1" applyFill="1" applyBorder="1" applyAlignment="1" applyProtection="1">
      <alignment horizontal="right"/>
      <protection locked="0"/>
    </xf>
    <xf numFmtId="166" fontId="0" fillId="33" borderId="12" xfId="59" applyNumberFormat="1" applyFont="1" applyFill="1" applyBorder="1" applyAlignment="1" applyProtection="1">
      <alignment/>
      <protection locked="0"/>
    </xf>
    <xf numFmtId="9" fontId="0" fillId="33" borderId="12" xfId="59" applyFont="1" applyFill="1" applyBorder="1" applyAlignment="1" applyProtection="1">
      <alignment/>
      <protection locked="0"/>
    </xf>
    <xf numFmtId="7" fontId="0" fillId="0" borderId="12" xfId="44" applyNumberFormat="1" applyFont="1" applyFill="1" applyBorder="1" applyAlignment="1" applyProtection="1">
      <alignment/>
      <protection/>
    </xf>
    <xf numFmtId="0" fontId="0" fillId="0" borderId="11" xfId="0" applyFill="1" applyBorder="1" applyAlignment="1">
      <alignment/>
    </xf>
    <xf numFmtId="1" fontId="0" fillId="0" borderId="12" xfId="0" applyNumberFormat="1" applyFont="1" applyBorder="1" applyAlignment="1" applyProtection="1">
      <alignment/>
      <protection/>
    </xf>
    <xf numFmtId="165" fontId="0" fillId="0" borderId="12" xfId="42" applyNumberFormat="1" applyFont="1" applyFill="1" applyBorder="1" applyAlignment="1" applyProtection="1">
      <alignment/>
      <protection/>
    </xf>
    <xf numFmtId="7" fontId="0" fillId="0" borderId="12" xfId="42" applyNumberFormat="1" applyFont="1" applyFill="1" applyBorder="1" applyAlignment="1" applyProtection="1">
      <alignment/>
      <protection/>
    </xf>
    <xf numFmtId="164" fontId="0" fillId="0" borderId="12" xfId="59" applyNumberFormat="1" applyFont="1" applyFill="1" applyBorder="1" applyAlignment="1" applyProtection="1">
      <alignment/>
      <protection/>
    </xf>
    <xf numFmtId="14" fontId="0" fillId="0" borderId="12" xfId="0" applyNumberFormat="1" applyFont="1" applyBorder="1" applyAlignment="1" applyProtection="1">
      <alignment/>
      <protection/>
    </xf>
    <xf numFmtId="164" fontId="42" fillId="0" borderId="12" xfId="0" applyNumberFormat="1" applyFont="1" applyBorder="1" applyAlignment="1" applyProtection="1">
      <alignment/>
      <protection/>
    </xf>
    <xf numFmtId="164" fontId="42" fillId="0" borderId="21" xfId="0" applyNumberFormat="1" applyFont="1" applyBorder="1" applyAlignment="1" applyProtection="1">
      <alignment/>
      <protection/>
    </xf>
    <xf numFmtId="0" fontId="42" fillId="34" borderId="11" xfId="0" applyFont="1" applyFill="1" applyBorder="1" applyAlignment="1">
      <alignment/>
    </xf>
    <xf numFmtId="0" fontId="42" fillId="34" borderId="0" xfId="0" applyFont="1" applyFill="1" applyBorder="1" applyAlignment="1">
      <alignment/>
    </xf>
    <xf numFmtId="0" fontId="42" fillId="34" borderId="0" xfId="0" applyFont="1" applyFill="1" applyBorder="1" applyAlignment="1">
      <alignment/>
    </xf>
    <xf numFmtId="0" fontId="42" fillId="34" borderId="0" xfId="0" applyFont="1" applyFill="1" applyBorder="1" applyAlignment="1" applyProtection="1">
      <alignment horizontal="right"/>
      <protection/>
    </xf>
    <xf numFmtId="164" fontId="42" fillId="34" borderId="0" xfId="0" applyNumberFormat="1" applyFont="1" applyFill="1" applyBorder="1" applyAlignment="1" applyProtection="1">
      <alignment/>
      <protection/>
    </xf>
    <xf numFmtId="0" fontId="0" fillId="34" borderId="0" xfId="0" applyFont="1" applyFill="1" applyAlignment="1">
      <alignment/>
    </xf>
    <xf numFmtId="0" fontId="42" fillId="0" borderId="16" xfId="0" applyFont="1" applyBorder="1" applyAlignment="1">
      <alignment horizontal="center"/>
    </xf>
    <xf numFmtId="7" fontId="0" fillId="33" borderId="0" xfId="44" applyNumberFormat="1" applyFont="1" applyFill="1" applyBorder="1" applyAlignment="1" applyProtection="1">
      <alignment horizontal="center"/>
      <protection locked="0"/>
    </xf>
    <xf numFmtId="164" fontId="0" fillId="33" borderId="10" xfId="0" applyNumberFormat="1" applyFont="1" applyFill="1" applyBorder="1" applyAlignment="1" applyProtection="1">
      <alignment horizontal="center"/>
      <protection locked="0"/>
    </xf>
    <xf numFmtId="7" fontId="0" fillId="0" borderId="19" xfId="0" applyNumberFormat="1" applyFont="1" applyBorder="1" applyAlignment="1" applyProtection="1">
      <alignment horizontal="center"/>
      <protection/>
    </xf>
    <xf numFmtId="0" fontId="44" fillId="0" borderId="0" xfId="0" applyFont="1" applyFill="1" applyAlignment="1">
      <alignment horizontal="center"/>
    </xf>
    <xf numFmtId="8" fontId="0" fillId="33" borderId="0" xfId="0" applyNumberFormat="1" applyFont="1" applyFill="1" applyBorder="1" applyAlignment="1" applyProtection="1">
      <alignment horizontal="center"/>
      <protection/>
    </xf>
    <xf numFmtId="8" fontId="0" fillId="33" borderId="10" xfId="0" applyNumberFormat="1" applyFont="1" applyFill="1" applyBorder="1" applyAlignment="1" applyProtection="1">
      <alignment horizontal="center"/>
      <protection/>
    </xf>
    <xf numFmtId="8" fontId="0" fillId="33" borderId="0" xfId="0" applyNumberFormat="1" applyFont="1" applyFill="1" applyBorder="1" applyAlignment="1" applyProtection="1">
      <alignment horizontal="center" vertical="center"/>
      <protection/>
    </xf>
    <xf numFmtId="0" fontId="0" fillId="33" borderId="0" xfId="0" applyFill="1" applyBorder="1" applyAlignment="1" applyProtection="1">
      <alignment vertical="center"/>
      <protection/>
    </xf>
    <xf numFmtId="7" fontId="0" fillId="33" borderId="0" xfId="0" applyNumberFormat="1" applyFont="1" applyFill="1" applyBorder="1" applyAlignment="1" applyProtection="1">
      <alignment horizontal="center"/>
      <protection/>
    </xf>
    <xf numFmtId="0" fontId="0" fillId="0" borderId="0" xfId="0" applyFont="1" applyBorder="1" applyAlignment="1" applyProtection="1">
      <alignment/>
      <protection/>
    </xf>
    <xf numFmtId="0" fontId="0" fillId="0" borderId="14" xfId="0" applyFont="1" applyBorder="1" applyAlignment="1" applyProtection="1">
      <alignment/>
      <protection/>
    </xf>
    <xf numFmtId="164" fontId="0" fillId="33" borderId="0" xfId="0" applyNumberFormat="1" applyFont="1" applyFill="1" applyBorder="1" applyAlignment="1" applyProtection="1">
      <alignment horizontal="center"/>
      <protection/>
    </xf>
    <xf numFmtId="7" fontId="0" fillId="33" borderId="0" xfId="44" applyNumberFormat="1" applyFont="1" applyFill="1" applyBorder="1" applyAlignment="1" applyProtection="1">
      <alignment horizontal="center"/>
      <protection/>
    </xf>
    <xf numFmtId="0" fontId="29" fillId="36" borderId="17" xfId="0" applyFont="1" applyFill="1" applyBorder="1" applyAlignment="1">
      <alignment horizontal="center"/>
    </xf>
    <xf numFmtId="0" fontId="26" fillId="36" borderId="19" xfId="0" applyFont="1" applyFill="1" applyBorder="1" applyAlignment="1">
      <alignment/>
    </xf>
    <xf numFmtId="0" fontId="42" fillId="0" borderId="18" xfId="0" applyFont="1" applyBorder="1" applyAlignment="1">
      <alignment horizontal="center"/>
    </xf>
    <xf numFmtId="0" fontId="0" fillId="0" borderId="20" xfId="0" applyBorder="1" applyAlignment="1">
      <alignment/>
    </xf>
    <xf numFmtId="0" fontId="26" fillId="36" borderId="10" xfId="0" applyFont="1" applyFill="1" applyBorder="1" applyAlignment="1">
      <alignment/>
    </xf>
    <xf numFmtId="0" fontId="0" fillId="0" borderId="19" xfId="0" applyBorder="1" applyAlignment="1">
      <alignment/>
    </xf>
    <xf numFmtId="0" fontId="0" fillId="0" borderId="13" xfId="0" applyFont="1" applyBorder="1" applyAlignment="1">
      <alignment/>
    </xf>
    <xf numFmtId="0" fontId="0" fillId="0" borderId="14" xfId="0" applyBorder="1" applyAlignment="1">
      <alignment/>
    </xf>
    <xf numFmtId="0" fontId="42" fillId="0" borderId="16" xfId="0" applyFont="1" applyBorder="1" applyAlignment="1">
      <alignment horizontal="right"/>
    </xf>
    <xf numFmtId="0" fontId="42" fillId="0" borderId="17" xfId="0" applyFont="1" applyBorder="1" applyAlignment="1">
      <alignment wrapText="1"/>
    </xf>
    <xf numFmtId="0" fontId="0" fillId="0" borderId="13" xfId="0" applyBorder="1" applyAlignment="1">
      <alignment wrapText="1"/>
    </xf>
    <xf numFmtId="0" fontId="0" fillId="0" borderId="20" xfId="0" applyBorder="1" applyAlignment="1">
      <alignment horizontal="center"/>
    </xf>
    <xf numFmtId="0" fontId="0" fillId="0" borderId="16" xfId="0" applyBorder="1" applyAlignment="1">
      <alignment/>
    </xf>
    <xf numFmtId="0" fontId="0" fillId="0" borderId="10" xfId="0" applyBorder="1" applyAlignment="1">
      <alignment/>
    </xf>
    <xf numFmtId="0" fontId="29" fillId="36" borderId="18" xfId="0" applyFont="1" applyFill="1" applyBorder="1" applyAlignment="1">
      <alignment horizontal="center"/>
    </xf>
    <xf numFmtId="0" fontId="29" fillId="36" borderId="16" xfId="0" applyFont="1" applyFill="1" applyBorder="1" applyAlignment="1">
      <alignment horizontal="center"/>
    </xf>
    <xf numFmtId="0" fontId="26" fillId="36" borderId="16" xfId="0" applyFont="1" applyFill="1" applyBorder="1" applyAlignment="1">
      <alignment horizontal="center"/>
    </xf>
    <xf numFmtId="0" fontId="26" fillId="36" borderId="20" xfId="0" applyFont="1" applyFill="1" applyBorder="1" applyAlignment="1">
      <alignment horizontal="center"/>
    </xf>
    <xf numFmtId="0" fontId="42" fillId="0" borderId="17" xfId="0" applyFont="1" applyBorder="1" applyAlignment="1">
      <alignment horizontal="center"/>
    </xf>
    <xf numFmtId="0" fontId="0" fillId="0" borderId="10" xfId="0" applyBorder="1" applyAlignment="1">
      <alignment horizontal="center"/>
    </xf>
    <xf numFmtId="0" fontId="0" fillId="0" borderId="19" xfId="0" applyBorder="1" applyAlignment="1">
      <alignment horizontal="center"/>
    </xf>
    <xf numFmtId="0" fontId="42" fillId="0" borderId="17" xfId="0" applyFont="1" applyBorder="1" applyAlignment="1">
      <alignment horizontal="center" wrapText="1"/>
    </xf>
    <xf numFmtId="7" fontId="0" fillId="0" borderId="19" xfId="0" applyNumberFormat="1" applyFont="1" applyBorder="1" applyAlignment="1" applyProtection="1">
      <alignment horizontal="center" vertical="center"/>
      <protection/>
    </xf>
    <xf numFmtId="0" fontId="0" fillId="0" borderId="21" xfId="0" applyBorder="1" applyAlignment="1">
      <alignment horizontal="center" vertical="center"/>
    </xf>
    <xf numFmtId="0" fontId="45" fillId="0" borderId="0" xfId="0" applyFont="1" applyBorder="1" applyAlignment="1">
      <alignment horizontal="center" vertical="center" wrapText="1"/>
    </xf>
    <xf numFmtId="0" fontId="45" fillId="0" borderId="0" xfId="0" applyFont="1" applyBorder="1" applyAlignment="1">
      <alignment vertical="center" wrapText="1"/>
    </xf>
    <xf numFmtId="8" fontId="0" fillId="33" borderId="0"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locked="0"/>
    </xf>
    <xf numFmtId="7" fontId="0" fillId="0" borderId="12" xfId="0" applyNumberFormat="1" applyFont="1" applyBorder="1" applyAlignment="1" applyProtection="1">
      <alignment horizontal="center" vertical="center"/>
      <protection/>
    </xf>
    <xf numFmtId="7" fontId="0" fillId="0" borderId="12" xfId="0" applyNumberFormat="1" applyBorder="1" applyAlignment="1">
      <alignment horizontal="center" vertical="center"/>
    </xf>
    <xf numFmtId="0" fontId="45" fillId="0" borderId="18" xfId="0" applyFont="1" applyBorder="1" applyAlignment="1">
      <alignment horizontal="left"/>
    </xf>
    <xf numFmtId="0" fontId="46" fillId="0" borderId="16" xfId="0" applyFont="1" applyBorder="1" applyAlignment="1">
      <alignment/>
    </xf>
    <xf numFmtId="0" fontId="42" fillId="34" borderId="10" xfId="0" applyFont="1" applyFill="1" applyBorder="1" applyAlignment="1">
      <alignment horizontal="left"/>
    </xf>
    <xf numFmtId="0" fontId="42" fillId="34" borderId="0" xfId="0" applyFont="1" applyFill="1" applyBorder="1" applyAlignment="1">
      <alignment/>
    </xf>
    <xf numFmtId="0" fontId="0" fillId="0" borderId="0" xfId="0" applyAlignment="1">
      <alignment/>
    </xf>
    <xf numFmtId="0" fontId="0" fillId="0" borderId="17" xfId="0" applyBorder="1" applyAlignment="1">
      <alignment/>
    </xf>
    <xf numFmtId="0" fontId="0" fillId="0" borderId="17" xfId="0" applyFont="1" applyBorder="1" applyAlignment="1">
      <alignment/>
    </xf>
    <xf numFmtId="0" fontId="47" fillId="0" borderId="18" xfId="0" applyFont="1" applyBorder="1" applyAlignment="1">
      <alignment horizontal="center"/>
    </xf>
    <xf numFmtId="0" fontId="48" fillId="0" borderId="16" xfId="0" applyFont="1" applyBorder="1" applyAlignment="1">
      <alignment horizontal="center"/>
    </xf>
    <xf numFmtId="0" fontId="42" fillId="35" borderId="18" xfId="0" applyFont="1" applyFill="1" applyBorder="1" applyAlignment="1">
      <alignment horizontal="center"/>
    </xf>
    <xf numFmtId="0" fontId="0" fillId="35" borderId="16" xfId="0" applyFill="1" applyBorder="1" applyAlignment="1">
      <alignment horizontal="center"/>
    </xf>
    <xf numFmtId="0" fontId="0" fillId="35" borderId="20" xfId="0" applyFill="1" applyBorder="1" applyAlignment="1">
      <alignment horizontal="center"/>
    </xf>
    <xf numFmtId="0" fontId="42" fillId="0" borderId="13" xfId="0" applyFont="1" applyBorder="1" applyAlignment="1">
      <alignment horizontal="center"/>
    </xf>
    <xf numFmtId="0" fontId="42" fillId="0" borderId="14" xfId="0" applyFont="1" applyBorder="1" applyAlignment="1">
      <alignment horizontal="center"/>
    </xf>
    <xf numFmtId="0" fontId="42" fillId="0" borderId="0" xfId="0" applyFont="1" applyBorder="1" applyAlignment="1">
      <alignment horizontal="center"/>
    </xf>
    <xf numFmtId="0" fontId="42" fillId="0" borderId="21" xfId="0" applyFont="1" applyBorder="1" applyAlignment="1">
      <alignment horizontal="center"/>
    </xf>
    <xf numFmtId="7" fontId="0" fillId="0" borderId="19" xfId="0" applyNumberFormat="1" applyFont="1" applyBorder="1" applyAlignment="1" applyProtection="1">
      <alignment horizontal="center" vertical="center" wrapText="1"/>
      <protection/>
    </xf>
    <xf numFmtId="0" fontId="0" fillId="0" borderId="21" xfId="0" applyBorder="1" applyAlignment="1">
      <alignment horizontal="center" vertical="center" wrapText="1"/>
    </xf>
    <xf numFmtId="0" fontId="36" fillId="0" borderId="0" xfId="53" applyAlignment="1" applyProtection="1">
      <alignment horizontal="center"/>
      <protection/>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657225</xdr:colOff>
      <xdr:row>56</xdr:row>
      <xdr:rowOff>19050</xdr:rowOff>
    </xdr:from>
    <xdr:to>
      <xdr:col>0</xdr:col>
      <xdr:colOff>1257300</xdr:colOff>
      <xdr:row>59</xdr:row>
      <xdr:rowOff>66675</xdr:rowOff>
    </xdr:to>
    <xdr:pic>
      <xdr:nvPicPr>
        <xdr:cNvPr id="1" name="Picture 3" descr="CAB-RGB-BW.gif"/>
        <xdr:cNvPicPr preferRelativeResize="1">
          <a:picLocks noChangeAspect="1"/>
        </xdr:cNvPicPr>
      </xdr:nvPicPr>
      <xdr:blipFill>
        <a:blip r:embed="rId1"/>
        <a:stretch>
          <a:fillRect/>
        </a:stretch>
      </xdr:blipFill>
      <xdr:spPr>
        <a:xfrm>
          <a:off x="657225" y="9915525"/>
          <a:ext cx="600075" cy="619125"/>
        </a:xfrm>
        <a:prstGeom prst="rect">
          <a:avLst/>
        </a:prstGeom>
        <a:noFill/>
        <a:ln w="9525" cmpd="sng">
          <a:noFill/>
        </a:ln>
      </xdr:spPr>
    </xdr:pic>
    <xdr:clientData/>
  </xdr:twoCellAnchor>
  <xdr:twoCellAnchor editAs="oneCell">
    <xdr:from>
      <xdr:col>6</xdr:col>
      <xdr:colOff>190500</xdr:colOff>
      <xdr:row>56</xdr:row>
      <xdr:rowOff>76200</xdr:rowOff>
    </xdr:from>
    <xdr:to>
      <xdr:col>7</xdr:col>
      <xdr:colOff>333375</xdr:colOff>
      <xdr:row>59</xdr:row>
      <xdr:rowOff>123825</xdr:rowOff>
    </xdr:to>
    <xdr:pic>
      <xdr:nvPicPr>
        <xdr:cNvPr id="2" name="Picture 4" descr="CAB-RGB-BW.gif"/>
        <xdr:cNvPicPr preferRelativeResize="1">
          <a:picLocks noChangeAspect="1"/>
        </xdr:cNvPicPr>
      </xdr:nvPicPr>
      <xdr:blipFill>
        <a:blip r:embed="rId1"/>
        <a:stretch>
          <a:fillRect/>
        </a:stretch>
      </xdr:blipFill>
      <xdr:spPr>
        <a:xfrm>
          <a:off x="6953250" y="9972675"/>
          <a:ext cx="6000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bpartners.com/" TargetMode="External" /><Relationship Id="rId2" Type="http://schemas.openxmlformats.org/officeDocument/2006/relationships/hyperlink" Target="http://www.cabpartners.co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9"/>
  <sheetViews>
    <sheetView tabSelected="1" workbookViewId="0" topLeftCell="A1">
      <selection activeCell="B27" sqref="B27"/>
    </sheetView>
  </sheetViews>
  <sheetFormatPr defaultColWidth="9.140625" defaultRowHeight="15"/>
  <cols>
    <col min="1" max="1" width="44.28125" style="1" customWidth="1"/>
    <col min="2" max="2" width="11.00390625" style="1" customWidth="1"/>
    <col min="3" max="4" width="12.00390625" style="1" bestFit="1" customWidth="1"/>
    <col min="5" max="5" width="10.57421875" style="1" customWidth="1"/>
    <col min="6" max="6" width="11.57421875" style="1" customWidth="1"/>
    <col min="7" max="7" width="6.8515625" style="1" customWidth="1"/>
    <col min="8" max="8" width="14.00390625" style="1" customWidth="1"/>
    <col min="9" max="9" width="1.28515625" style="1" customWidth="1"/>
    <col min="10" max="10" width="7.7109375" style="1" customWidth="1"/>
    <col min="11" max="11" width="9.57421875" style="1" customWidth="1"/>
    <col min="12" max="16384" width="9.140625" style="1" customWidth="1"/>
  </cols>
  <sheetData>
    <row r="1" spans="1:5" ht="15">
      <c r="A1" s="122" t="s">
        <v>51</v>
      </c>
      <c r="B1" s="123"/>
      <c r="E1" s="10" t="s">
        <v>41</v>
      </c>
    </row>
    <row r="2" spans="1:5" ht="15">
      <c r="A2" s="72" t="s">
        <v>54</v>
      </c>
      <c r="B2" s="75">
        <v>95</v>
      </c>
      <c r="E2" s="26" t="s">
        <v>42</v>
      </c>
    </row>
    <row r="3" spans="1:5" ht="15">
      <c r="A3" s="70" t="s">
        <v>52</v>
      </c>
      <c r="B3" s="71">
        <v>-2</v>
      </c>
      <c r="E3" s="26" t="s">
        <v>50</v>
      </c>
    </row>
    <row r="4" spans="1:5" ht="15">
      <c r="A4" s="72" t="s">
        <v>29</v>
      </c>
      <c r="B4" s="73">
        <v>35</v>
      </c>
      <c r="E4" s="26" t="s">
        <v>59</v>
      </c>
    </row>
    <row r="5" spans="1:5" ht="15">
      <c r="A5" s="72" t="s">
        <v>53</v>
      </c>
      <c r="B5" s="74">
        <v>1</v>
      </c>
      <c r="E5" s="26" t="s">
        <v>66</v>
      </c>
    </row>
    <row r="6" spans="1:5" ht="15">
      <c r="A6" s="70" t="s">
        <v>44</v>
      </c>
      <c r="B6" s="75">
        <v>0</v>
      </c>
      <c r="C6" s="27"/>
      <c r="E6" s="28" t="s">
        <v>84</v>
      </c>
    </row>
    <row r="7" spans="1:5" ht="15.75" thickBot="1">
      <c r="A7" s="13"/>
      <c r="B7" s="76"/>
      <c r="E7" s="26" t="s">
        <v>98</v>
      </c>
    </row>
    <row r="8" spans="1:12" ht="15.75" thickBot="1">
      <c r="A8" s="124" t="s">
        <v>35</v>
      </c>
      <c r="B8" s="125"/>
      <c r="E8" t="s">
        <v>67</v>
      </c>
      <c r="F8" s="2"/>
      <c r="G8" s="2"/>
      <c r="H8" s="2"/>
      <c r="I8" s="2"/>
      <c r="J8" s="2"/>
      <c r="K8" s="2"/>
      <c r="L8" s="2"/>
    </row>
    <row r="9" spans="1:15" ht="15">
      <c r="A9" s="72" t="s">
        <v>55</v>
      </c>
      <c r="B9" s="77">
        <f>B2+B3+((B4-B5)/B29*100)+(B6/B29)*100</f>
        <v>95.56603773584905</v>
      </c>
      <c r="E9" s="28" t="s">
        <v>64</v>
      </c>
      <c r="F9" s="2"/>
      <c r="G9" s="2"/>
      <c r="H9" s="2"/>
      <c r="I9" s="2"/>
      <c r="J9" s="2"/>
      <c r="K9" s="2"/>
      <c r="L9" s="2"/>
      <c r="M9" s="2"/>
      <c r="N9" s="2"/>
      <c r="O9" s="2"/>
    </row>
    <row r="10" spans="1:15" ht="15.75" thickBot="1">
      <c r="A10" s="72" t="s">
        <v>95</v>
      </c>
      <c r="B10" s="78">
        <f>B9/0.635</f>
        <v>150.49769722180952</v>
      </c>
      <c r="E10" s="28" t="s">
        <v>97</v>
      </c>
      <c r="M10" s="2"/>
      <c r="N10" s="2"/>
      <c r="O10" s="2"/>
    </row>
    <row r="11" spans="1:5" ht="15.75" thickBot="1">
      <c r="A11" s="124" t="s">
        <v>36</v>
      </c>
      <c r="B11" s="125"/>
      <c r="E11" s="2" t="s">
        <v>43</v>
      </c>
    </row>
    <row r="12" spans="1:2" ht="15.75" thickBot="1">
      <c r="A12" s="79" t="s">
        <v>96</v>
      </c>
      <c r="B12" s="77">
        <f>B9/0.635-(N43/(B29*G40))+K38</f>
        <v>154.01362251640091</v>
      </c>
    </row>
    <row r="13" spans="1:12" ht="15.75" customHeight="1" thickBot="1">
      <c r="A13" s="80" t="s">
        <v>94</v>
      </c>
      <c r="B13" s="81">
        <f>B12*0.635</f>
        <v>97.79865029791458</v>
      </c>
      <c r="E13" s="136" t="s">
        <v>73</v>
      </c>
      <c r="F13" s="137"/>
      <c r="G13" s="138"/>
      <c r="H13" s="138"/>
      <c r="I13" s="138"/>
      <c r="J13" s="138"/>
      <c r="K13" s="139"/>
      <c r="L13" s="11"/>
    </row>
    <row r="14" spans="1:13" ht="15.75" customHeight="1" thickBot="1">
      <c r="A14" s="2"/>
      <c r="C14" s="5"/>
      <c r="D14" s="5"/>
      <c r="E14" s="140" t="s">
        <v>70</v>
      </c>
      <c r="F14" s="141"/>
      <c r="G14" s="141"/>
      <c r="H14" s="141"/>
      <c r="I14" s="141"/>
      <c r="J14" s="141"/>
      <c r="K14" s="142"/>
      <c r="M14"/>
    </row>
    <row r="15" spans="1:11" ht="13.5" customHeight="1" thickBot="1">
      <c r="A15" s="122" t="s">
        <v>86</v>
      </c>
      <c r="B15" s="126"/>
      <c r="C15" s="127"/>
      <c r="D15" s="5"/>
      <c r="E15" s="24" t="s">
        <v>71</v>
      </c>
      <c r="F15" s="108" t="s">
        <v>72</v>
      </c>
      <c r="G15" s="152" t="s">
        <v>92</v>
      </c>
      <c r="H15" s="153"/>
      <c r="I15" s="125"/>
      <c r="J15" s="124" t="s">
        <v>74</v>
      </c>
      <c r="K15" s="133"/>
    </row>
    <row r="16" spans="1:12" ht="15">
      <c r="A16" s="79" t="s">
        <v>87</v>
      </c>
      <c r="B16" s="4">
        <v>160</v>
      </c>
      <c r="C16" s="82"/>
      <c r="D16" s="5"/>
      <c r="E16" s="38" t="s">
        <v>21</v>
      </c>
      <c r="F16" s="39">
        <v>0.05</v>
      </c>
      <c r="G16" s="5"/>
      <c r="H16" s="42">
        <v>10</v>
      </c>
      <c r="I16" s="113"/>
      <c r="J16" s="2"/>
      <c r="K16" s="48">
        <f>F16*H16</f>
        <v>0.5</v>
      </c>
      <c r="L16" s="112"/>
    </row>
    <row r="17" spans="1:11" ht="15">
      <c r="A17" s="79" t="s">
        <v>88</v>
      </c>
      <c r="B17" s="4">
        <v>625</v>
      </c>
      <c r="C17" s="82"/>
      <c r="D17" s="5"/>
      <c r="E17" s="25" t="s">
        <v>22</v>
      </c>
      <c r="F17" s="14">
        <v>0.3</v>
      </c>
      <c r="G17" s="5"/>
      <c r="H17" s="42">
        <v>3</v>
      </c>
      <c r="I17" s="113"/>
      <c r="J17" s="2"/>
      <c r="K17" s="48">
        <f>F17*H17</f>
        <v>0.8999999999999999</v>
      </c>
    </row>
    <row r="18" spans="1:11" ht="15">
      <c r="A18" s="79" t="s">
        <v>49</v>
      </c>
      <c r="B18" s="6">
        <v>3.1</v>
      </c>
      <c r="C18" s="83"/>
      <c r="D18" s="5"/>
      <c r="E18" s="25" t="s">
        <v>68</v>
      </c>
      <c r="F18" s="14">
        <v>0.9</v>
      </c>
      <c r="G18" s="146" t="s">
        <v>23</v>
      </c>
      <c r="H18" s="148">
        <v>8</v>
      </c>
      <c r="I18" s="115"/>
      <c r="J18" s="33"/>
      <c r="K18" s="150">
        <f>((100%-G41)*F18*H18)-(F19*H18)</f>
        <v>2.4800000000000004</v>
      </c>
    </row>
    <row r="19" spans="1:11" ht="15">
      <c r="A19" s="79" t="s">
        <v>0</v>
      </c>
      <c r="B19" s="4">
        <v>900</v>
      </c>
      <c r="C19" s="15"/>
      <c r="E19" s="25" t="s">
        <v>69</v>
      </c>
      <c r="F19" s="14">
        <v>0.05</v>
      </c>
      <c r="G19" s="147"/>
      <c r="H19" s="149"/>
      <c r="I19" s="116"/>
      <c r="J19" s="33"/>
      <c r="K19" s="151"/>
    </row>
    <row r="20" spans="1:11" ht="15.75" thickBot="1">
      <c r="A20" s="13" t="s">
        <v>2</v>
      </c>
      <c r="B20" s="8">
        <v>2</v>
      </c>
      <c r="C20" s="15"/>
      <c r="E20" s="25" t="s">
        <v>65</v>
      </c>
      <c r="F20" s="14">
        <v>0</v>
      </c>
      <c r="G20" s="35"/>
      <c r="H20" s="56">
        <v>-20</v>
      </c>
      <c r="I20" s="117"/>
      <c r="J20" s="10"/>
      <c r="K20" s="48">
        <f>F20*H20</f>
        <v>0</v>
      </c>
    </row>
    <row r="21" spans="1:11" ht="15">
      <c r="A21" s="79" t="s">
        <v>19</v>
      </c>
      <c r="B21" s="30">
        <f>B16*B17/B20</f>
        <v>50000</v>
      </c>
      <c r="C21" s="15"/>
      <c r="D21" s="9"/>
      <c r="E21" s="16" t="s">
        <v>20</v>
      </c>
      <c r="F21" s="37">
        <f>SUM(F16,F18,F19,F20)</f>
        <v>1</v>
      </c>
      <c r="G21" s="2"/>
      <c r="H21" s="2"/>
      <c r="I21" s="118"/>
      <c r="J21" s="143" t="s">
        <v>75</v>
      </c>
      <c r="K21" s="144">
        <f>SUM(K16:K20)</f>
        <v>3.8800000000000003</v>
      </c>
    </row>
    <row r="22" spans="1:11" ht="15.75" thickBot="1">
      <c r="A22" s="13"/>
      <c r="B22" s="3" t="s">
        <v>3</v>
      </c>
      <c r="C22" s="84" t="s">
        <v>4</v>
      </c>
      <c r="D22" s="9"/>
      <c r="E22" s="34"/>
      <c r="F22" s="41"/>
      <c r="G22" s="22"/>
      <c r="H22" s="22"/>
      <c r="I22" s="119"/>
      <c r="J22" s="132"/>
      <c r="K22" s="145"/>
    </row>
    <row r="23" spans="1:11" ht="15.75" thickBot="1">
      <c r="A23" s="19" t="s">
        <v>1</v>
      </c>
      <c r="B23" s="85">
        <f>C23/B17*100</f>
        <v>5.58</v>
      </c>
      <c r="C23" s="86">
        <f>(B19*B18)/(B21/B17)</f>
        <v>34.875</v>
      </c>
      <c r="E23" s="124" t="s">
        <v>76</v>
      </c>
      <c r="F23" s="134"/>
      <c r="G23" s="135"/>
      <c r="H23" s="135"/>
      <c r="I23" s="135"/>
      <c r="J23" s="134"/>
      <c r="K23" s="125"/>
    </row>
    <row r="24" spans="1:11" ht="15.75" thickBot="1">
      <c r="A24" s="2"/>
      <c r="B24" s="7"/>
      <c r="E24" s="24" t="s">
        <v>71</v>
      </c>
      <c r="F24" s="108" t="s">
        <v>72</v>
      </c>
      <c r="G24" s="152" t="s">
        <v>92</v>
      </c>
      <c r="H24" s="153"/>
      <c r="I24" s="125"/>
      <c r="J24" s="124" t="s">
        <v>74</v>
      </c>
      <c r="K24" s="133"/>
    </row>
    <row r="25" spans="1:11" ht="15">
      <c r="A25" s="122" t="s">
        <v>45</v>
      </c>
      <c r="B25" s="123"/>
      <c r="E25" s="38" t="s">
        <v>24</v>
      </c>
      <c r="F25" s="39">
        <v>0.05</v>
      </c>
      <c r="G25" s="40"/>
      <c r="H25" s="110">
        <v>4</v>
      </c>
      <c r="I25" s="114"/>
      <c r="J25" s="12"/>
      <c r="K25" s="111">
        <f>F25*H25</f>
        <v>0.2</v>
      </c>
    </row>
    <row r="26" spans="1:11" ht="15">
      <c r="A26" s="13" t="s">
        <v>8</v>
      </c>
      <c r="B26" s="87">
        <v>40452</v>
      </c>
      <c r="E26" s="25" t="s">
        <v>25</v>
      </c>
      <c r="F26" s="14">
        <v>0.25</v>
      </c>
      <c r="G26" s="5"/>
      <c r="H26" s="55">
        <v>2</v>
      </c>
      <c r="I26" s="120"/>
      <c r="J26" s="2"/>
      <c r="K26" s="48">
        <f>F26*H26</f>
        <v>0.5</v>
      </c>
    </row>
    <row r="27" spans="1:11" ht="15">
      <c r="A27" s="13" t="s">
        <v>5</v>
      </c>
      <c r="B27" s="21">
        <v>3.2</v>
      </c>
      <c r="E27" s="25" t="s">
        <v>26</v>
      </c>
      <c r="F27" s="14">
        <v>0.55</v>
      </c>
      <c r="G27" s="5"/>
      <c r="H27" s="55">
        <v>0</v>
      </c>
      <c r="I27" s="120"/>
      <c r="J27" s="2"/>
      <c r="K27" s="48">
        <f>F27*H27</f>
        <v>0</v>
      </c>
    </row>
    <row r="28" spans="1:11" ht="15">
      <c r="A28" s="13" t="s">
        <v>38</v>
      </c>
      <c r="B28" s="88">
        <v>6.1</v>
      </c>
      <c r="E28" s="25" t="s">
        <v>27</v>
      </c>
      <c r="F28" s="14">
        <v>0.15</v>
      </c>
      <c r="G28" s="5"/>
      <c r="H28" s="56">
        <v>-7</v>
      </c>
      <c r="I28" s="117"/>
      <c r="J28" s="2"/>
      <c r="K28" s="48">
        <f>F28*H28</f>
        <v>-1.05</v>
      </c>
    </row>
    <row r="29" spans="1:11" ht="15.75" thickBot="1">
      <c r="A29" s="79" t="s">
        <v>48</v>
      </c>
      <c r="B29" s="21">
        <v>1325</v>
      </c>
      <c r="E29" s="25" t="s">
        <v>28</v>
      </c>
      <c r="F29" s="14">
        <v>0</v>
      </c>
      <c r="G29" s="5"/>
      <c r="H29" s="56">
        <v>-20</v>
      </c>
      <c r="I29" s="117"/>
      <c r="J29" s="2"/>
      <c r="K29" s="48">
        <f>F29*H29</f>
        <v>0</v>
      </c>
    </row>
    <row r="30" spans="1:11" ht="15">
      <c r="A30" s="13" t="s">
        <v>11</v>
      </c>
      <c r="B30" s="89">
        <v>0.35</v>
      </c>
      <c r="E30" s="16" t="s">
        <v>20</v>
      </c>
      <c r="F30" s="37">
        <f>SUM(F25:F29)</f>
        <v>1</v>
      </c>
      <c r="G30" s="2"/>
      <c r="H30" s="2"/>
      <c r="I30" s="118"/>
      <c r="J30" s="131" t="s">
        <v>77</v>
      </c>
      <c r="K30" s="144">
        <f>SUM(K25:K29)</f>
        <v>-0.3500000000000001</v>
      </c>
    </row>
    <row r="31" spans="1:11" ht="15.75" thickBot="1">
      <c r="A31" s="13" t="s">
        <v>14</v>
      </c>
      <c r="B31" s="90">
        <v>12</v>
      </c>
      <c r="E31" s="19"/>
      <c r="F31" s="22"/>
      <c r="G31" s="22"/>
      <c r="H31" s="22"/>
      <c r="I31" s="119"/>
      <c r="J31" s="132"/>
      <c r="K31" s="145"/>
    </row>
    <row r="32" spans="1:11" ht="15.75" thickBot="1">
      <c r="A32" s="13" t="s">
        <v>6</v>
      </c>
      <c r="B32" s="91">
        <v>0.01</v>
      </c>
      <c r="E32" s="164" t="s">
        <v>78</v>
      </c>
      <c r="F32" s="165"/>
      <c r="G32" s="166"/>
      <c r="H32" s="166"/>
      <c r="I32" s="166"/>
      <c r="J32" s="165"/>
      <c r="K32" s="167"/>
    </row>
    <row r="33" spans="1:11" ht="15.75" thickBot="1">
      <c r="A33" s="13" t="s">
        <v>39</v>
      </c>
      <c r="B33" s="75">
        <v>168</v>
      </c>
      <c r="E33" s="24" t="s">
        <v>71</v>
      </c>
      <c r="F33" s="108" t="s">
        <v>72</v>
      </c>
      <c r="G33" s="159" t="s">
        <v>93</v>
      </c>
      <c r="H33" s="160"/>
      <c r="I33" s="133"/>
      <c r="J33" s="124" t="s">
        <v>74</v>
      </c>
      <c r="K33" s="133"/>
    </row>
    <row r="34" spans="1:11" ht="15">
      <c r="A34" s="13" t="s">
        <v>16</v>
      </c>
      <c r="B34" s="75">
        <v>150</v>
      </c>
      <c r="E34" s="38" t="s">
        <v>79</v>
      </c>
      <c r="F34" s="39">
        <v>0</v>
      </c>
      <c r="G34" s="35"/>
      <c r="H34" s="56">
        <v>-30</v>
      </c>
      <c r="I34" s="113"/>
      <c r="J34" s="12"/>
      <c r="K34" s="49">
        <f>F34*H34</f>
        <v>0</v>
      </c>
    </row>
    <row r="35" spans="1:11" ht="15.75" thickBot="1">
      <c r="A35" s="13" t="s">
        <v>46</v>
      </c>
      <c r="B35" s="92">
        <v>0.06</v>
      </c>
      <c r="E35" s="25" t="s">
        <v>80</v>
      </c>
      <c r="F35" s="18">
        <v>0</v>
      </c>
      <c r="G35" s="35"/>
      <c r="H35" s="109">
        <v>-20</v>
      </c>
      <c r="I35" s="121"/>
      <c r="J35" s="2"/>
      <c r="K35" s="48">
        <f>F35*H35</f>
        <v>0</v>
      </c>
    </row>
    <row r="36" spans="1:11" ht="15">
      <c r="A36" s="13" t="s">
        <v>47</v>
      </c>
      <c r="B36" s="92">
        <v>0.06</v>
      </c>
      <c r="E36" s="25"/>
      <c r="F36" s="43"/>
      <c r="G36" s="35"/>
      <c r="H36" s="2"/>
      <c r="I36" s="118"/>
      <c r="J36" s="131" t="s">
        <v>82</v>
      </c>
      <c r="K36" s="168">
        <f>K35+K34</f>
        <v>0</v>
      </c>
    </row>
    <row r="37" spans="1:11" ht="15.75" thickBot="1">
      <c r="A37" s="13" t="s">
        <v>12</v>
      </c>
      <c r="B37" s="93">
        <f>(B41/2)*(B33/2000)*B36*(B39/365)</f>
        <v>6.448869863013699</v>
      </c>
      <c r="E37" s="44"/>
      <c r="F37" s="46"/>
      <c r="G37" s="45"/>
      <c r="H37" s="22"/>
      <c r="I37" s="119"/>
      <c r="J37" s="132"/>
      <c r="K37" s="169"/>
    </row>
    <row r="38" spans="1:11" ht="15.75" thickBot="1">
      <c r="A38" s="94" t="s">
        <v>63</v>
      </c>
      <c r="B38" s="77">
        <f>B53*B35*(B39/365)</f>
        <v>22.570815467254633</v>
      </c>
      <c r="E38" s="47"/>
      <c r="F38" s="130" t="s">
        <v>83</v>
      </c>
      <c r="G38" s="130"/>
      <c r="H38" s="130"/>
      <c r="I38" s="130"/>
      <c r="J38" s="130"/>
      <c r="K38" s="50">
        <f>SUM(K21,K30,K36)</f>
        <v>3.5300000000000002</v>
      </c>
    </row>
    <row r="39" spans="1:12" ht="15.75" thickBot="1">
      <c r="A39" s="13" t="s">
        <v>7</v>
      </c>
      <c r="B39" s="95">
        <f>(B29-B17)/B27</f>
        <v>218.75</v>
      </c>
      <c r="E39" s="35"/>
      <c r="F39" s="51"/>
      <c r="G39" s="51"/>
      <c r="J39" s="10"/>
      <c r="L39" s="2"/>
    </row>
    <row r="40" spans="1:15" ht="15">
      <c r="A40" s="13" t="s">
        <v>40</v>
      </c>
      <c r="B40" s="96">
        <f>B27*B28</f>
        <v>19.52</v>
      </c>
      <c r="E40" s="157" t="s">
        <v>81</v>
      </c>
      <c r="F40" s="135"/>
      <c r="G40" s="52">
        <v>0.635</v>
      </c>
      <c r="J40" s="158" t="s">
        <v>34</v>
      </c>
      <c r="K40" s="135"/>
      <c r="L40" s="135"/>
      <c r="M40" s="135"/>
      <c r="N40" s="54">
        <v>3</v>
      </c>
      <c r="O40" s="2"/>
    </row>
    <row r="41" spans="1:15" ht="15.75" thickBot="1">
      <c r="A41" s="13" t="s">
        <v>17</v>
      </c>
      <c r="B41" s="96">
        <f>(B29-B17)*B28</f>
        <v>4270</v>
      </c>
      <c r="E41" s="19" t="s">
        <v>30</v>
      </c>
      <c r="F41" s="22"/>
      <c r="G41" s="53">
        <v>0.6</v>
      </c>
      <c r="J41" s="13" t="s">
        <v>31</v>
      </c>
      <c r="K41" s="2"/>
      <c r="L41" s="2"/>
      <c r="M41" s="2"/>
      <c r="N41" s="21">
        <v>38</v>
      </c>
      <c r="O41" s="2"/>
    </row>
    <row r="42" spans="1:15" ht="13.5" customHeight="1" thickBot="1">
      <c r="A42" s="13" t="s">
        <v>10</v>
      </c>
      <c r="B42" s="97">
        <f>B33/2000*B28*100</f>
        <v>51.239999999999995</v>
      </c>
      <c r="E42" s="2"/>
      <c r="F42" s="2"/>
      <c r="G42" s="20"/>
      <c r="J42" s="128" t="s">
        <v>32</v>
      </c>
      <c r="K42" s="129"/>
      <c r="L42" s="129"/>
      <c r="M42" s="129"/>
      <c r="N42" s="21">
        <v>150</v>
      </c>
      <c r="O42" s="2"/>
    </row>
    <row r="43" spans="1:15" ht="13.5" customHeight="1" thickBot="1">
      <c r="A43" s="13" t="s">
        <v>15</v>
      </c>
      <c r="B43" s="97">
        <f>B42/100*(B29-B17)</f>
        <v>358.67999999999995</v>
      </c>
      <c r="J43" s="57" t="s">
        <v>33</v>
      </c>
      <c r="K43" s="36"/>
      <c r="L43" s="36"/>
      <c r="M43" s="36"/>
      <c r="N43" s="58">
        <f>(N40*N42)/N41</f>
        <v>11.842105263157896</v>
      </c>
      <c r="O43" s="2"/>
    </row>
    <row r="44" spans="1:10" ht="15.75" customHeight="1" thickBot="1">
      <c r="A44" s="13" t="s">
        <v>13</v>
      </c>
      <c r="B44" s="98">
        <f>(B32*B52)+(B32*B43/2)</f>
        <v>9.57023630136986</v>
      </c>
      <c r="C44" s="17"/>
      <c r="D44" s="17"/>
      <c r="J44" s="2"/>
    </row>
    <row r="45" spans="1:13" ht="15.75" thickBot="1">
      <c r="A45" s="13" t="s">
        <v>18</v>
      </c>
      <c r="B45" s="93">
        <f>B30*B39</f>
        <v>76.5625</v>
      </c>
      <c r="E45" s="59"/>
      <c r="F45" s="60"/>
      <c r="G45" s="60"/>
      <c r="H45" s="60"/>
      <c r="I45" s="60"/>
      <c r="J45" s="60"/>
      <c r="K45" s="60"/>
      <c r="L45" s="61"/>
      <c r="M45" s="62"/>
    </row>
    <row r="46" spans="1:13" ht="15.75" thickBot="1">
      <c r="A46" s="13" t="s">
        <v>9</v>
      </c>
      <c r="B46" s="99">
        <f>B26+B39</f>
        <v>40670.75</v>
      </c>
      <c r="E46" s="63"/>
      <c r="F46" s="161" t="s">
        <v>89</v>
      </c>
      <c r="G46" s="162"/>
      <c r="H46" s="162"/>
      <c r="I46" s="162"/>
      <c r="J46" s="162"/>
      <c r="K46" s="162"/>
      <c r="L46" s="163"/>
      <c r="M46" s="64"/>
    </row>
    <row r="47" spans="1:13" ht="15">
      <c r="A47" s="13" t="s">
        <v>37</v>
      </c>
      <c r="B47" s="77">
        <f>B37+B43+B45+B31</f>
        <v>453.6913698630137</v>
      </c>
      <c r="E47" s="102"/>
      <c r="F47" s="154" t="s">
        <v>88</v>
      </c>
      <c r="G47" s="135"/>
      <c r="H47" s="104"/>
      <c r="I47" s="104"/>
      <c r="J47" s="103"/>
      <c r="K47" s="104"/>
      <c r="L47" s="105">
        <f>B17</f>
        <v>625</v>
      </c>
      <c r="M47" s="65"/>
    </row>
    <row r="48" spans="1:13" ht="15">
      <c r="A48" s="13"/>
      <c r="B48" s="78"/>
      <c r="E48" s="102"/>
      <c r="F48" s="155" t="s">
        <v>90</v>
      </c>
      <c r="G48" s="156"/>
      <c r="H48" s="156"/>
      <c r="I48" s="156"/>
      <c r="J48" s="156"/>
      <c r="K48" s="156"/>
      <c r="L48" s="106">
        <f>B55/L47*100</f>
        <v>119.28681253893785</v>
      </c>
      <c r="M48" s="65"/>
    </row>
    <row r="49" spans="1:13" ht="15" customHeight="1">
      <c r="A49" s="16" t="s">
        <v>62</v>
      </c>
      <c r="B49" s="100">
        <f>B47/(B29-B17)*100</f>
        <v>64.81305283757338</v>
      </c>
      <c r="E49" s="69"/>
      <c r="F49" s="155" t="s">
        <v>91</v>
      </c>
      <c r="G49" s="156"/>
      <c r="H49" s="156"/>
      <c r="I49" s="156"/>
      <c r="J49" s="156"/>
      <c r="K49" s="156"/>
      <c r="L49" s="106">
        <f>B56/L47*100</f>
        <v>124.0199511705168</v>
      </c>
      <c r="M49" s="65"/>
    </row>
    <row r="50" spans="1:13" ht="15.75" thickBot="1">
      <c r="A50" s="34" t="s">
        <v>85</v>
      </c>
      <c r="B50" s="101">
        <f>B54/(B29-B17)*100</f>
        <v>69.40463166166259</v>
      </c>
      <c r="E50" s="102"/>
      <c r="F50" s="107"/>
      <c r="G50" s="104"/>
      <c r="H50" s="104"/>
      <c r="I50" s="104"/>
      <c r="J50" s="104"/>
      <c r="K50" s="104"/>
      <c r="L50" s="107"/>
      <c r="M50" s="65"/>
    </row>
    <row r="51" spans="1:13" ht="15.75" thickBot="1">
      <c r="A51" s="2"/>
      <c r="B51" s="23"/>
      <c r="E51" s="66"/>
      <c r="F51" s="67"/>
      <c r="G51" s="67"/>
      <c r="H51" s="67"/>
      <c r="I51" s="67"/>
      <c r="J51" s="67"/>
      <c r="K51" s="67"/>
      <c r="L51" s="67"/>
      <c r="M51" s="68"/>
    </row>
    <row r="52" spans="1:2" ht="15" hidden="1">
      <c r="A52" s="28" t="s">
        <v>60</v>
      </c>
      <c r="B52" s="29">
        <f>((B9*B29/100)-B47-C23)</f>
        <v>777.683630136986</v>
      </c>
    </row>
    <row r="53" spans="1:2" ht="15" hidden="1">
      <c r="A53" s="26" t="s">
        <v>61</v>
      </c>
      <c r="B53" s="32">
        <f>B52-B34</f>
        <v>627.683630136986</v>
      </c>
    </row>
    <row r="54" spans="1:2" ht="15" hidden="1">
      <c r="A54" s="28" t="s">
        <v>56</v>
      </c>
      <c r="B54" s="31">
        <f>B47+B38+B44</f>
        <v>485.83242163163817</v>
      </c>
    </row>
    <row r="55" spans="1:10" ht="15" hidden="1">
      <c r="A55" s="28" t="s">
        <v>57</v>
      </c>
      <c r="B55" s="29">
        <f>(B9*B29/100)-B54-C23</f>
        <v>745.5425783683615</v>
      </c>
      <c r="F55" s="2"/>
      <c r="G55" s="2"/>
      <c r="J55" s="2"/>
    </row>
    <row r="56" spans="1:2" ht="15" hidden="1">
      <c r="A56" s="28" t="s">
        <v>58</v>
      </c>
      <c r="B56" s="29">
        <f>(B12*B29*G40/100)-B54-C23</f>
        <v>775.12469481573</v>
      </c>
    </row>
    <row r="57" spans="1:2" ht="15">
      <c r="A57" s="28"/>
      <c r="B57" s="29"/>
    </row>
    <row r="58" ht="15"/>
    <row r="59" spans="1:15" ht="15">
      <c r="A59" s="170" t="s">
        <v>99</v>
      </c>
      <c r="B59" s="171"/>
      <c r="C59" s="171"/>
      <c r="E59" s="170" t="s">
        <v>99</v>
      </c>
      <c r="F59" s="171"/>
      <c r="G59" s="171"/>
      <c r="H59" s="171"/>
      <c r="I59" s="171"/>
      <c r="J59" s="171"/>
      <c r="K59" s="171"/>
      <c r="L59" s="171"/>
      <c r="M59" s="171"/>
      <c r="N59" s="171"/>
      <c r="O59" s="171"/>
    </row>
  </sheetData>
  <sheetProtection password="C53C" sheet="1" selectLockedCells="1"/>
  <mergeCells count="34">
    <mergeCell ref="A59:C59"/>
    <mergeCell ref="E59:O59"/>
    <mergeCell ref="G24:I24"/>
    <mergeCell ref="G33:I33"/>
    <mergeCell ref="J33:K33"/>
    <mergeCell ref="F46:L46"/>
    <mergeCell ref="E32:K32"/>
    <mergeCell ref="J36:J37"/>
    <mergeCell ref="K36:K37"/>
    <mergeCell ref="F47:G47"/>
    <mergeCell ref="F48:K48"/>
    <mergeCell ref="F49:K49"/>
    <mergeCell ref="E40:F40"/>
    <mergeCell ref="J40:M40"/>
    <mergeCell ref="K30:K31"/>
    <mergeCell ref="E13:K13"/>
    <mergeCell ref="E14:K14"/>
    <mergeCell ref="J15:K15"/>
    <mergeCell ref="J21:J22"/>
    <mergeCell ref="K21:K22"/>
    <mergeCell ref="G18:G19"/>
    <mergeCell ref="H18:H19"/>
    <mergeCell ref="K18:K19"/>
    <mergeCell ref="G15:I15"/>
    <mergeCell ref="A1:B1"/>
    <mergeCell ref="A8:B8"/>
    <mergeCell ref="A11:B11"/>
    <mergeCell ref="A15:C15"/>
    <mergeCell ref="A25:B25"/>
    <mergeCell ref="J42:M42"/>
    <mergeCell ref="F38:J38"/>
    <mergeCell ref="J30:J31"/>
    <mergeCell ref="J24:K24"/>
    <mergeCell ref="E23:K23"/>
  </mergeCells>
  <hyperlinks>
    <hyperlink ref="A59" r:id="rId1" display="www.cabpartners.com"/>
    <hyperlink ref="E59" r:id="rId2" display="www.cabpartners.com"/>
  </hyperlinks>
  <printOptions/>
  <pageMargins left="1.5" right="0.7" top="1" bottom="0.75" header="0.3" footer="0.3"/>
  <pageSetup horizontalDpi="600" verticalDpi="600" orientation="portrait" scale="81" r:id="rId6"/>
  <headerFooter>
    <oddHeader>&amp;C&amp;16&amp;UCattle Breakeven Analysis</oddHeader>
    <oddFooter>&amp;R&amp;D</oddFooter>
  </headerFooter>
  <colBreaks count="1" manualBreakCount="1">
    <brk id="4" max="65535" man="1"/>
  </colBreaks>
  <drawing r:id="rId5"/>
  <legacyDrawing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Certified Angus Beef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topcow</dc:creator>
  <cp:keywords/>
  <dc:description/>
  <cp:lastModifiedBy>topcow</cp:lastModifiedBy>
  <cp:lastPrinted>2010-05-04T19:13:43Z</cp:lastPrinted>
  <dcterms:created xsi:type="dcterms:W3CDTF">2009-08-19T15:24:04Z</dcterms:created>
  <dcterms:modified xsi:type="dcterms:W3CDTF">2010-05-04T19:17:22Z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